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880"/>
  </bookViews>
  <sheets>
    <sheet name="доходы" sheetId="1" r:id="rId1"/>
  </sheets>
  <definedNames>
    <definedName name="_xlnm.Print_Area" localSheetId="0">доходы!$A$2:$G$143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5" i="1"/>
  <c r="I48"/>
  <c r="G43"/>
  <c r="I38"/>
  <c r="I30"/>
  <c r="I29" s="1"/>
  <c r="I89"/>
  <c r="I77"/>
  <c r="G77"/>
  <c r="F77"/>
  <c r="C91"/>
  <c r="D91"/>
  <c r="F91"/>
  <c r="G91"/>
  <c r="I91"/>
  <c r="I123"/>
  <c r="I111"/>
  <c r="I135"/>
  <c r="I99"/>
  <c r="I97"/>
  <c r="I94"/>
  <c r="I72"/>
  <c r="I70" s="1"/>
  <c r="I67"/>
  <c r="I64" s="1"/>
  <c r="I62"/>
  <c r="I59" s="1"/>
  <c r="I58" s="1"/>
  <c r="I54"/>
  <c r="G54"/>
  <c r="F54"/>
  <c r="I43"/>
  <c r="I40"/>
  <c r="I37" s="1"/>
  <c r="F38"/>
  <c r="G38"/>
  <c r="I24"/>
  <c r="I23" s="1"/>
  <c r="I15"/>
  <c r="I14" s="1"/>
  <c r="C77"/>
  <c r="C99"/>
  <c r="E80"/>
  <c r="C62"/>
  <c r="C54"/>
  <c r="C33"/>
  <c r="C15"/>
  <c r="D15"/>
  <c r="D135"/>
  <c r="D111"/>
  <c r="D77"/>
  <c r="D99"/>
  <c r="D54"/>
  <c r="E45"/>
  <c r="E88"/>
  <c r="E87"/>
  <c r="E120"/>
  <c r="E127"/>
  <c r="E140"/>
  <c r="E139"/>
  <c r="E96"/>
  <c r="H96"/>
  <c r="C111"/>
  <c r="E116"/>
  <c r="E115"/>
  <c r="C135"/>
  <c r="C43"/>
  <c r="C38"/>
  <c r="F123"/>
  <c r="F43"/>
  <c r="D43"/>
  <c r="G135"/>
  <c r="G107"/>
  <c r="F107"/>
  <c r="D107"/>
  <c r="G99"/>
  <c r="E81"/>
  <c r="E82"/>
  <c r="H82"/>
  <c r="D67"/>
  <c r="F67"/>
  <c r="G62"/>
  <c r="G59" s="1"/>
  <c r="G58" s="1"/>
  <c r="F62"/>
  <c r="F59" s="1"/>
  <c r="E55"/>
  <c r="E36"/>
  <c r="C141"/>
  <c r="D141"/>
  <c r="F141"/>
  <c r="G141"/>
  <c r="H141"/>
  <c r="G94"/>
  <c r="F94"/>
  <c r="F15"/>
  <c r="D30"/>
  <c r="C107"/>
  <c r="I106" l="1"/>
  <c r="I105" s="1"/>
  <c r="I47"/>
  <c r="I76"/>
  <c r="E91"/>
  <c r="I13"/>
  <c r="F58"/>
  <c r="E141"/>
  <c r="I46" l="1"/>
  <c r="I12" s="1"/>
  <c r="I143" s="1"/>
  <c r="H69"/>
  <c r="H103" l="1"/>
  <c r="H102"/>
  <c r="H101" l="1"/>
  <c r="H99" s="1"/>
  <c r="H95"/>
  <c r="H92"/>
  <c r="H91" s="1"/>
  <c r="H90"/>
  <c r="H89" s="1"/>
  <c r="H86"/>
  <c r="H85"/>
  <c r="H84"/>
  <c r="H79"/>
  <c r="H73"/>
  <c r="H72" s="1"/>
  <c r="H71"/>
  <c r="H67"/>
  <c r="H63"/>
  <c r="H62" s="1"/>
  <c r="H61"/>
  <c r="H60"/>
  <c r="H57"/>
  <c r="H54" s="1"/>
  <c r="H53"/>
  <c r="H52" s="1"/>
  <c r="H50"/>
  <c r="H42"/>
  <c r="H41"/>
  <c r="H36"/>
  <c r="H35"/>
  <c r="H33"/>
  <c r="H32"/>
  <c r="H31"/>
  <c r="H16"/>
  <c r="H18"/>
  <c r="H137"/>
  <c r="H135"/>
  <c r="H123"/>
  <c r="H111"/>
  <c r="H107"/>
  <c r="H97"/>
  <c r="H65"/>
  <c r="H43"/>
  <c r="H38"/>
  <c r="H24"/>
  <c r="H23" s="1"/>
  <c r="H70" l="1"/>
  <c r="H48"/>
  <c r="H47" s="1"/>
  <c r="H30"/>
  <c r="H29" s="1"/>
  <c r="H40"/>
  <c r="H37" s="1"/>
  <c r="H77"/>
  <c r="H59"/>
  <c r="H58" s="1"/>
  <c r="H94"/>
  <c r="H106"/>
  <c r="H105" s="1"/>
  <c r="H64"/>
  <c r="H15"/>
  <c r="H14" s="1"/>
  <c r="F111"/>
  <c r="G111"/>
  <c r="H76" l="1"/>
  <c r="H46" s="1"/>
  <c r="H13"/>
  <c r="E113"/>
  <c r="E131"/>
  <c r="E132"/>
  <c r="E133"/>
  <c r="E134"/>
  <c r="G123"/>
  <c r="D123"/>
  <c r="C123"/>
  <c r="E98"/>
  <c r="G97"/>
  <c r="F97"/>
  <c r="C97"/>
  <c r="D97"/>
  <c r="C94"/>
  <c r="G48"/>
  <c r="F48"/>
  <c r="C48"/>
  <c r="D48"/>
  <c r="E28"/>
  <c r="E20"/>
  <c r="G15"/>
  <c r="D94" l="1"/>
  <c r="H12"/>
  <c r="H143" s="1"/>
  <c r="E97"/>
  <c r="E32"/>
  <c r="E31"/>
  <c r="G30"/>
  <c r="F30"/>
  <c r="C30" l="1"/>
  <c r="E30" s="1"/>
  <c r="E130"/>
  <c r="C137" l="1"/>
  <c r="E136"/>
  <c r="E129"/>
  <c r="E128"/>
  <c r="E126"/>
  <c r="E125"/>
  <c r="E124"/>
  <c r="E122"/>
  <c r="E119"/>
  <c r="E118"/>
  <c r="E109"/>
  <c r="E101"/>
  <c r="E95"/>
  <c r="E93"/>
  <c r="E92"/>
  <c r="E90"/>
  <c r="E85"/>
  <c r="E84"/>
  <c r="E79"/>
  <c r="E75"/>
  <c r="E74"/>
  <c r="E73"/>
  <c r="E71"/>
  <c r="E69"/>
  <c r="E68"/>
  <c r="E66"/>
  <c r="E63"/>
  <c r="E61"/>
  <c r="E60"/>
  <c r="E53"/>
  <c r="E51"/>
  <c r="E50"/>
  <c r="E49"/>
  <c r="E44"/>
  <c r="E42"/>
  <c r="E41"/>
  <c r="E39"/>
  <c r="E35"/>
  <c r="E34"/>
  <c r="E27"/>
  <c r="E26"/>
  <c r="E25"/>
  <c r="E19"/>
  <c r="E18"/>
  <c r="E17"/>
  <c r="E16"/>
  <c r="G137"/>
  <c r="F137"/>
  <c r="D137"/>
  <c r="G67"/>
  <c r="C67"/>
  <c r="E43" l="1"/>
  <c r="E99"/>
  <c r="E67"/>
  <c r="E138"/>
  <c r="E137"/>
  <c r="C89"/>
  <c r="C76" s="1"/>
  <c r="C72"/>
  <c r="C70" s="1"/>
  <c r="C65"/>
  <c r="C59"/>
  <c r="C58" s="1"/>
  <c r="C52"/>
  <c r="C40"/>
  <c r="C29"/>
  <c r="C24"/>
  <c r="C14"/>
  <c r="G89"/>
  <c r="F89"/>
  <c r="D89"/>
  <c r="G72"/>
  <c r="G70" s="1"/>
  <c r="F72"/>
  <c r="F70" s="1"/>
  <c r="D72"/>
  <c r="G65"/>
  <c r="G64" s="1"/>
  <c r="F65"/>
  <c r="D65"/>
  <c r="D62"/>
  <c r="G52"/>
  <c r="F52"/>
  <c r="D52"/>
  <c r="G40"/>
  <c r="G37" s="1"/>
  <c r="F40"/>
  <c r="F37" s="1"/>
  <c r="D40"/>
  <c r="D38"/>
  <c r="G33"/>
  <c r="G29" s="1"/>
  <c r="F33"/>
  <c r="F29" s="1"/>
  <c r="D29"/>
  <c r="G24"/>
  <c r="G23" s="1"/>
  <c r="F24"/>
  <c r="F23" s="1"/>
  <c r="D24"/>
  <c r="G14"/>
  <c r="F14"/>
  <c r="D70" l="1"/>
  <c r="D23"/>
  <c r="D76"/>
  <c r="D59"/>
  <c r="F76"/>
  <c r="G76"/>
  <c r="D106"/>
  <c r="E54"/>
  <c r="E89"/>
  <c r="E77"/>
  <c r="E65"/>
  <c r="E62"/>
  <c r="E52"/>
  <c r="D37"/>
  <c r="E38"/>
  <c r="E135"/>
  <c r="D14"/>
  <c r="C37"/>
  <c r="E40"/>
  <c r="C23"/>
  <c r="E24"/>
  <c r="E48"/>
  <c r="E15"/>
  <c r="E72"/>
  <c r="E29"/>
  <c r="E33"/>
  <c r="E114"/>
  <c r="E107"/>
  <c r="E142"/>
  <c r="C64"/>
  <c r="F13"/>
  <c r="G13"/>
  <c r="G47"/>
  <c r="C47"/>
  <c r="D47"/>
  <c r="F47"/>
  <c r="D64"/>
  <c r="F64"/>
  <c r="D58" l="1"/>
  <c r="E23"/>
  <c r="E59"/>
  <c r="C46"/>
  <c r="F46"/>
  <c r="F12" s="1"/>
  <c r="D105"/>
  <c r="E37"/>
  <c r="D13"/>
  <c r="C13"/>
  <c r="E94"/>
  <c r="E70"/>
  <c r="E64"/>
  <c r="G106"/>
  <c r="G105" s="1"/>
  <c r="E14"/>
  <c r="E47"/>
  <c r="C106"/>
  <c r="C105" s="1"/>
  <c r="F106"/>
  <c r="F105" s="1"/>
  <c r="E111"/>
  <c r="E123"/>
  <c r="G46"/>
  <c r="G12" s="1"/>
  <c r="E58" l="1"/>
  <c r="D46"/>
  <c r="C12"/>
  <c r="E13"/>
  <c r="E76"/>
  <c r="E106"/>
  <c r="F143"/>
  <c r="G143"/>
  <c r="D12" l="1"/>
  <c r="E46"/>
  <c r="C143"/>
  <c r="E105"/>
  <c r="D143" l="1"/>
  <c r="E12"/>
  <c r="E143" l="1"/>
</calcChain>
</file>

<file path=xl/sharedStrings.xml><?xml version="1.0" encoding="utf-8"?>
<sst xmlns="http://schemas.openxmlformats.org/spreadsheetml/2006/main" count="272" uniqueCount="268">
  <si>
    <t>КБК</t>
  </si>
  <si>
    <t>Наименования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</si>
  <si>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</si>
  <si>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</si>
  <si>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</si>
  <si>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</si>
  <si>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</si>
  <si>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</si>
  <si>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</si>
  <si>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</si>
  <si>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</si>
  <si>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</si>
  <si>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</si>
  <si>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</si>
  <si>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</si>
  <si>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</si>
  <si>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</si>
  <si>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</si>
  <si>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</si>
  <si>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</si>
  <si>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</si>
  <si>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</si>
  <si>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</si>
  <si>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</si>
  <si>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</si>
  <si>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</si>
  <si>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</si>
  <si>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</si>
  <si>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</si>
  <si>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</si>
  <si>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</si>
  <si>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</si>
  <si>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1 05 02010 02 0000 110</t>
  </si>
  <si>
    <t>1 05 03010 01 0000 110</t>
  </si>
  <si>
    <t>Единый сельскохозяйственный налог</t>
  </si>
  <si>
    <t>1 05 04010 02 0000 110</t>
  </si>
  <si>
    <t>1 06 00000 00 0000 000</t>
  </si>
  <si>
    <t>НАЛОГИ НА ИМУЩЕСТВО</t>
  </si>
  <si>
    <t xml:space="preserve">1 06 01000 00 0000 110
</t>
  </si>
  <si>
    <t>Налог на имущество физических лиц</t>
  </si>
  <si>
    <t>1 06 06000 00 0000 110</t>
  </si>
  <si>
    <t>Земельный налог</t>
  </si>
  <si>
    <t>1 08 00000 00 0000 000</t>
  </si>
  <si>
    <t>Государственная пошлина</t>
  </si>
  <si>
    <t xml:space="preserve">1 08 03010 01 0000 110
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</si>
  <si>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</si>
  <si>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</si>
  <si>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</si>
  <si>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</si>
  <si>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</si>
  <si>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</si>
  <si>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</si>
  <si>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</si>
  <si>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</si>
  <si>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1 11 07000 00 0000 120</t>
  </si>
  <si>
    <t>Платежи от государственных и муниципальных унитарных предприятий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</si>
  <si>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</si>
  <si>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</si>
  <si>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</si>
  <si>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</si>
  <si>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</si>
  <si>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</si>
  <si>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</si>
  <si>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</si>
  <si>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за выбросы загрязняющих веществ в атмосферный воздух стационарными объектами</t>
  </si>
  <si>
    <t>1 12 01030 01 0000 120</t>
  </si>
  <si>
    <t>Плата за сбросы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</si>
  <si>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</si>
  <si>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</si>
  <si>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1 12 01041 01 0000 120</t>
  </si>
  <si>
    <t>Плата за размещение отходов производства</t>
  </si>
  <si>
    <t>1 13 00000 00 0000 000</t>
  </si>
  <si>
    <t>ДОХОДЫ ОТ ОКАЗАНИЯ ПЛАТНЫХ УСЛУГ И КОМПЕНСАЦИИ ЗАТРАТ ГОСУДАРСТВА</t>
  </si>
  <si>
    <t>1 13 01000 00 0000 130</t>
  </si>
  <si>
    <t>Доходы от оказания платных услуг (работ)</t>
  </si>
  <si>
    <t>1 13 02000 00 0000 130</t>
  </si>
  <si>
    <t>Доходы от компенсации затрат государства</t>
  </si>
  <si>
    <t>1 13 02994 04 0000 130</t>
  </si>
  <si>
    <t>1 14 00000 00 0000 000</t>
  </si>
  <si>
    <t>ДОХОДЫ ОТ ПРОДАЖИ МАТЕРИАЛЬНЫХ И НЕМАТЕРИАЛЬНЫХ АКТИВОВ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</si>
  <si>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</si>
  <si>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</si>
  <si>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</si>
  <si>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</si>
  <si>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1 16 00000 00 0000 000</t>
  </si>
  <si>
    <t>ШТРАФЫ, САНКЦИИ, ВОЗМЕЩЕНИЕ УЩЕРБА</t>
  </si>
  <si>
    <t>1 16 01000 01 0000 140</t>
  </si>
  <si>
    <t>Административные штрафы, установленные Кодексом Российской Федерации об административных правонарушениях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</si>
  <si>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</si>
  <si>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</si>
  <si>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</si>
  <si>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</si>
  <si>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</si>
  <si>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</si>
  <si>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</si>
  <si>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</si>
  <si>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</si>
  <si>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</si>
  <si>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</si>
  <si>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</si>
  <si>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</si>
  <si>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</si>
  <si>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</si>
  <si>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</si>
  <si>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</si>
  <si>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1 16 10000 00 0000 140</t>
  </si>
  <si>
    <t>Платежи в целях возмещения причиненного ущерба (убытков)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</si>
  <si>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</si>
  <si>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</si>
  <si>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1 16 10129 01 0000 140</t>
  </si>
  <si>
    <t>1 17 00000 00 0000 000</t>
  </si>
  <si>
    <t>ПРОЧИЕ НЕНАЛОГОВЫЕ ДОХОДЫ</t>
  </si>
  <si>
    <t>Прочие неналоговые доходы бюджетов городских округов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</si>
  <si>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</si>
  <si>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</si>
  <si>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</si>
  <si>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</si>
  <si>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</si>
  <si>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</si>
  <si>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</si>
  <si>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</si>
  <si>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</si>
  <si>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</si>
  <si>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</si>
  <si>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</si>
  <si>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ВСЕГО ДОХОДОВ</t>
  </si>
  <si>
    <t>руб.</t>
  </si>
  <si>
    <t>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</si>
  <si>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</si>
  <si>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 xml:space="preserve">2 02 25519 04 0000 150
</t>
  </si>
  <si>
    <t>Субсидии бюджетам городских округов на поддержку отрасли культуры</t>
  </si>
  <si>
    <t>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</si>
  <si>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</si>
  <si>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2 18 04010 04 0000 150</t>
  </si>
  <si>
    <t>Доходы бюджетов городских округов от возврата бюджетными учреждениями остатков субсидий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</si>
  <si>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</si>
  <si>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</si>
  <si>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</si>
  <si>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</si>
  <si>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1 16 07000 00 0000 140</t>
  </si>
  <si>
    <t>1 05 01000 00 0000 110</t>
  </si>
  <si>
    <t>Налог, взимаемый в связи с применением упрощенной системы налогообложения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</si>
  <si>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</si>
  <si>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</si>
  <si>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</si>
  <si>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</si>
  <si>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НАЛОГОВЫЕДОХОДЫ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</si>
  <si>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</si>
  <si>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1 01 02080 01 0000 110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</si>
  <si>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</si>
  <si>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>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</si>
  <si>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</si>
  <si>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1 16 11000 01 0000 140</t>
  </si>
  <si>
    <t>Платежи, уплачиваемые в целях возмещения вреда</t>
  </si>
  <si>
    <t xml:space="preserve"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
</t>
  </si>
  <si>
    <t>1 16 01103 01 0000 140</t>
  </si>
  <si>
    <t>1 17 05040 04 1003 180</t>
  </si>
  <si>
    <t>1 17 05040 04 1004 180</t>
  </si>
  <si>
    <t>1 17 05040 04 1005 180</t>
  </si>
  <si>
    <t>плата за включение хозяйствующего субъекта в схему размещения нестационарных торговых объектов</t>
  </si>
  <si>
    <t>плата за выдачу разрешения на использование земель или земельных участков, находящихся в государственной или муниципальной собственности, без предоставления земельных участков и установления сервитута</t>
  </si>
  <si>
    <t>плата за установку и эксплуатацию рекламных конструкций, расположенных на земельных участках, государственная собственность на которые не разграничена</t>
  </si>
  <si>
    <t>1 11 09044 04 1002 120</t>
  </si>
  <si>
    <t>1 11 09044 04 1003 120</t>
  </si>
  <si>
    <t>плата за предоставление муниципального рекламного места</t>
  </si>
  <si>
    <t>плата за наём жилья</t>
  </si>
  <si>
    <t>1 06 06032 14 0000 110</t>
  </si>
  <si>
    <t>1 06 06042 14 0000 110</t>
  </si>
  <si>
    <t>1 06 01020 14 0000 110</t>
  </si>
  <si>
    <t>1 11 05012 14 0000 120</t>
  </si>
  <si>
    <t>1 11 05034 14 0000 120</t>
  </si>
  <si>
    <t>1 11 05074 14 0000 120</t>
  </si>
  <si>
    <t>1 11 07014 14 0000 120</t>
  </si>
  <si>
    <t>1 11 09080 14000 120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</si>
  <si>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
</t>
  </si>
  <si>
    <t>1 16 07010 14 0000 140</t>
  </si>
  <si>
    <t>1 16 07090 14 0000 140</t>
  </si>
  <si>
    <t>2 02 15002 14 0000 150</t>
  </si>
  <si>
    <t>Дотации бюджетам муниципальных  округов на поддержку мер по обеспечению сбалансированности бюджетов</t>
  </si>
  <si>
    <t>Иные дотации бюджетам муниципальных округов</t>
  </si>
  <si>
    <t>2 02 19999 14 0000 150</t>
  </si>
  <si>
    <t>2 02 20299 14 0000 150</t>
  </si>
  <si>
    <t>2 02 20302 14 0000 150</t>
  </si>
  <si>
    <t>2 02 25497 14 0000 150</t>
  </si>
  <si>
    <t>2 02 25519 14 0000 150</t>
  </si>
  <si>
    <t>Субсидии бюджетам муниципальных округов на оснащение образовательных учреждений в сфере культуры музыкальными инструментами</t>
  </si>
  <si>
    <t>2 02 35118 14 0000 150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</si>
  <si>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</si>
  <si>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2025 год
(проект бюджета)</t>
  </si>
  <si>
    <t>2 02 25467 14 0000 150</t>
  </si>
  <si>
    <t>1 14 02043 14 0000 410</t>
  </si>
  <si>
    <t>1 14 06012 14 0000 430</t>
  </si>
  <si>
    <t>1 14 06024 14 0000 430</t>
  </si>
  <si>
    <t>1 14 06312 14 0000 430</t>
  </si>
  <si>
    <t>2 02 35120 14 0000 150</t>
  </si>
  <si>
    <t>2 02 35304 14 0000 150</t>
  </si>
  <si>
    <t>2 02 35260 14 0000 150</t>
  </si>
  <si>
    <t>2 02 35469 14 0000 150</t>
  </si>
  <si>
    <t>2 02 45303 14 0000 150</t>
  </si>
  <si>
    <t>2 02 36900 14 0000 150</t>
  </si>
  <si>
    <t>2 02 39999 14 0000 150</t>
  </si>
  <si>
    <t>2 02 30024 14 0000 150</t>
  </si>
  <si>
    <t>2 02 30029 14 0000 150</t>
  </si>
  <si>
    <t>2 02 35082 14 0000 150</t>
  </si>
  <si>
    <t>2 02 35930 14 0000 150</t>
  </si>
  <si>
    <t>2 02 29999 14 0000 150</t>
  </si>
  <si>
    <t>Прочие субвенции бюджетам муниципальных округов</t>
  </si>
  <si>
    <t>Единая субвенция бюджетам муниципальных округов из бюджета субъекта Российской Федерации</t>
  </si>
  <si>
    <t xml:space="preserve">Субвенции бюджетам муниципальных округов на государственную регистрацию актов гражданского состояния </t>
  </si>
  <si>
    <t>Субвенции бюджетам муниципальных  округов на проведение Всероссийской переписи населения 2020 года</t>
  </si>
  <si>
    <t>Субвенции бюджетам муниципальных 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</si>
  <si>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муниципальных  округов на выплату единовременного пособия при всех формах устройства детей, лишенных родительского попечения, в семью</t>
  </si>
  <si>
    <t>Субвенции бюджетам муниципальных 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</si>
  <si>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</si>
  <si>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Субвенции бюджетам муниципальных 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 </t>
  </si>
  <si>
    <t>Субвенции бюджетам муниципальных  округов на выполнение передаваемых полномочий субъектов Российской Федерации</t>
  </si>
  <si>
    <t>Прочие субсидии бюджетам муниципальных  округов</t>
  </si>
  <si>
    <t>Субсидии бюджетам муниципальных  округов на реализацию мероприятий по обеспечению жильем молодых семей</t>
  </si>
  <si>
    <t>Субсидии бюджетам муниципальных 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</si>
  <si>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</si>
  <si>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Прочие доходы от компенсации затрат бюджетов муниципальных  округов</t>
  </si>
  <si>
    <t>Земельный налог с организаций, обладающих земельным участком, расположенным в границах муниципальных  округов</t>
  </si>
  <si>
    <t>Земельный налог с физических лиц, обладающих земельным участком, расположенным в границах муниципальных  округов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</si>
  <si>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 округов</t>
  </si>
  <si>
    <t>Налог, взимаемый в связи с применением патентной системы налогообложения, зачисляемый в бюджеты муниципальных  округов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</si>
  <si>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</si>
  <si>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 округов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</si>
  <si>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</si>
  <si>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Сведения о доходах бюджета Лазовского муниципального округа </t>
  </si>
  <si>
    <t>2026 год
(проект бюджета)</t>
  </si>
  <si>
    <t>1 16 01203 01 0002 140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</si>
  <si>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незаконное ограничение прав ро управлению транспортным средством и его эксплуатацию)</t>
  </si>
  <si>
    <t>2 02 15001 14 0000 150</t>
  </si>
  <si>
    <t>Дотации бюджетам муниципальных  округов на выравнивание бюджетной обеспеченности бюджетов</t>
  </si>
  <si>
    <t>2 02 45179 14 0000 150</t>
  </si>
  <si>
    <t>Межбюджетные трансферты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</si>
  <si>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 бюджетам муниципальных округов на проведение мероприятий по обеспечению деятельности советников директоров по воспитанию и взаимодействию с детскими общественными объединениямив  общеобразовательных организациях</t>
  </si>
  <si>
    <t xml:space="preserve">1 08 04020 01 0000 110
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</si>
  <si>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законодательными актами</t>
  </si>
  <si>
    <t>2 02 49999 14 0000 150</t>
  </si>
  <si>
    <t>Иные межбюджетные трансферты, передаваемые бюджетам муниципальных округов</t>
  </si>
  <si>
    <t>2 02 25098 14 0000 150</t>
  </si>
  <si>
    <t>Субсидии бюджетам муниципальных округов на обновление материально-технической базы для организации учебно-исследовательской, научно-технической, творческой деятельности, занятий физической культуры и спорта</t>
  </si>
  <si>
    <t>2 02 25228 14 0000 150</t>
  </si>
  <si>
    <t>Субсидии бюджетам муниципальных округов на оснащение объектов спортивной инфраструктуры спортивно-технологическим оборудованием</t>
  </si>
  <si>
    <t xml:space="preserve">1 16 01053 01 0035 140 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</si>
  <si>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</si>
  <si>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Доходы, поступающие в порядке возмещения расходов, понесенных в связи с эксплуатацией имущества муниципальных округов</t>
  </si>
  <si>
    <t xml:space="preserve">1 13 02064 14 0000 130
</t>
  </si>
  <si>
    <t>1 17 01040 14 0000 180</t>
  </si>
  <si>
    <t>1 17 05040 14 0000 180</t>
  </si>
  <si>
    <t>Невыясненные поступления</t>
  </si>
  <si>
    <t>на 2025 год и плановый период 2026 и 2027 годов</t>
  </si>
  <si>
    <t>2027 год
(проект бюджета)</t>
  </si>
  <si>
    <t>2023 год
(исполнение)</t>
  </si>
  <si>
    <t>2024 год
(ожидаемое исполнение)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</si>
  <si>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</si>
  <si>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правонарушения, в области охраны окружающей среды и природопользования, налагаемые мировыми судьями комиссиями по делам несовершеннолетних и защите их прав</t>
  </si>
  <si>
    <t>2 02 25599 14 0000 150</t>
  </si>
  <si>
    <t>Субсидии бюджетам муниципальных округов на подготовку проеков межевания земельных участков и на проведение кадастровых работ</t>
  </si>
  <si>
    <t>2 02 20077 14 0000 150</t>
  </si>
  <si>
    <t>Субсидии бюджетам муниципальных округов на софинансирование капитальныхз вложений в объекты муниципальной собственности</t>
  </si>
  <si>
    <t>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</si>
  <si>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</si>
  <si>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1 01 02140 01 0000 110</t>
  </si>
  <si>
    <t>1 16 01123 01 0000 140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</si>
  <si>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</si>
  <si>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Отклонение от ожидаемого исполнения текущего (2024) финансового года</t>
  </si>
</sst>
</file>

<file path=xl/styles.xml><?xml version="1.0" encoding="utf-8"?>
<styleSheet xmlns="http://schemas.openxmlformats.org/spreadsheetml/2006/main">
  <numFmts count="1">
    <numFmt numFmtId="164" formatCode="#,##0.000"/>
  </numFmts>
  <fonts count="12">
    <font>
      <sz val="10"/>
      <name val="Arial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Arial Cyr"/>
      <charset val="204"/>
    </font>
    <font>
      <b/>
      <i/>
      <sz val="12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1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/>
    </xf>
    <xf numFmtId="0" fontId="9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4" fontId="8" fillId="0" borderId="1" xfId="0" applyNumberFormat="1" applyFont="1" applyFill="1" applyBorder="1" applyAlignment="1">
      <alignment vertical="top"/>
    </xf>
    <xf numFmtId="0" fontId="2" fillId="0" borderId="0" xfId="0" applyFont="1" applyFill="1"/>
    <xf numFmtId="4" fontId="1" fillId="0" borderId="0" xfId="0" applyNumberFormat="1" applyFont="1" applyFill="1"/>
    <xf numFmtId="1" fontId="7" fillId="0" borderId="1" xfId="0" applyNumberFormat="1" applyFont="1" applyFill="1" applyBorder="1" applyAlignment="1">
      <alignment horizontal="center" vertical="top" wrapText="1"/>
    </xf>
    <xf numFmtId="164" fontId="8" fillId="0" borderId="0" xfId="0" applyNumberFormat="1" applyFont="1" applyFill="1" applyBorder="1"/>
    <xf numFmtId="164" fontId="8" fillId="0" borderId="0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vertical="top"/>
    </xf>
    <xf numFmtId="0" fontId="2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justify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8" fillId="0" borderId="1" xfId="0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vertical="top"/>
    </xf>
    <xf numFmtId="0" fontId="1" fillId="0" borderId="0" xfId="0" applyFont="1" applyFill="1"/>
    <xf numFmtId="0" fontId="1" fillId="0" borderId="0" xfId="0" applyFont="1" applyFill="1" applyAlignment="1">
      <alignment horizontal="justify"/>
    </xf>
    <xf numFmtId="49" fontId="3" fillId="0" borderId="0" xfId="0" applyNumberFormat="1" applyFont="1" applyFill="1"/>
    <xf numFmtId="4" fontId="3" fillId="0" borderId="0" xfId="0" applyNumberFormat="1" applyFont="1" applyFill="1"/>
    <xf numFmtId="4" fontId="4" fillId="0" borderId="0" xfId="0" applyNumberFormat="1" applyFont="1" applyFill="1"/>
    <xf numFmtId="0" fontId="4" fillId="0" borderId="0" xfId="0" applyFont="1" applyFill="1"/>
    <xf numFmtId="0" fontId="5" fillId="0" borderId="0" xfId="0" applyFont="1" applyFill="1"/>
    <xf numFmtId="4" fontId="6" fillId="0" borderId="0" xfId="0" applyNumberFormat="1" applyFont="1" applyFill="1" applyAlignment="1">
      <alignment horizontal="justify" wrapText="1"/>
    </xf>
    <xf numFmtId="0" fontId="2" fillId="0" borderId="0" xfId="0" applyFont="1" applyFill="1" applyAlignment="1">
      <alignment horizontal="justify"/>
    </xf>
    <xf numFmtId="0" fontId="11" fillId="0" borderId="0" xfId="0" applyFont="1" applyFill="1" applyAlignment="1">
      <alignment horizontal="justify"/>
    </xf>
    <xf numFmtId="4" fontId="7" fillId="0" borderId="2" xfId="0" applyNumberFormat="1" applyFont="1" applyFill="1" applyBorder="1" applyAlignment="1">
      <alignment vertical="top"/>
    </xf>
    <xf numFmtId="4" fontId="8" fillId="0" borderId="2" xfId="0" applyNumberFormat="1" applyFont="1" applyFill="1" applyBorder="1" applyAlignment="1">
      <alignment vertical="top"/>
    </xf>
    <xf numFmtId="4" fontId="10" fillId="0" borderId="2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151"/>
  <sheetViews>
    <sheetView tabSelected="1" topLeftCell="A7" zoomScale="70" zoomScaleNormal="70" zoomScaleSheetLayoutView="70" workbookViewId="0">
      <pane xSplit="2" ySplit="6" topLeftCell="C13" activePane="bottomRight" state="frozen"/>
      <selection activeCell="A7" sqref="A7"/>
      <selection pane="topRight" activeCell="C7" sqref="C7"/>
      <selection pane="bottomLeft" activeCell="A13" sqref="A13"/>
      <selection pane="bottomRight" activeCell="E12" sqref="E12"/>
    </sheetView>
  </sheetViews>
  <sheetFormatPr defaultRowHeight="12" outlineLevelRow="1"/>
  <cols>
    <col min="1" max="1" width="24.85546875" style="8" customWidth="1"/>
    <col min="2" max="2" width="50.85546875" style="31" customWidth="1"/>
    <col min="3" max="3" width="19.28515625" style="1" customWidth="1"/>
    <col min="4" max="4" width="20.42578125" style="1" customWidth="1"/>
    <col min="5" max="5" width="19.7109375" style="1" customWidth="1"/>
    <col min="6" max="6" width="19.28515625" style="1" customWidth="1"/>
    <col min="7" max="7" width="20" style="1" customWidth="1"/>
    <col min="8" max="8" width="18.85546875" style="8" hidden="1" customWidth="1"/>
    <col min="9" max="9" width="22.42578125" style="8" customWidth="1"/>
    <col min="10" max="16384" width="9.140625" style="8"/>
  </cols>
  <sheetData>
    <row r="1" spans="1:9">
      <c r="A1" s="23"/>
      <c r="B1" s="24"/>
    </row>
    <row r="2" spans="1:9" s="2" customFormat="1" ht="15" collapsed="1">
      <c r="A2" s="25"/>
      <c r="B2" s="26"/>
      <c r="D2" s="27"/>
      <c r="F2" s="28"/>
    </row>
    <row r="3" spans="1:9" s="2" customFormat="1" ht="15">
      <c r="A3" s="25"/>
      <c r="B3" s="26"/>
      <c r="D3" s="27"/>
      <c r="F3" s="28"/>
    </row>
    <row r="4" spans="1:9" s="2" customFormat="1" ht="15">
      <c r="A4" s="25"/>
      <c r="B4" s="26"/>
      <c r="D4" s="27"/>
      <c r="F4" s="28"/>
    </row>
    <row r="5" spans="1:9" s="2" customFormat="1" ht="15">
      <c r="A5" s="25"/>
      <c r="B5" s="26"/>
      <c r="D5" s="27"/>
      <c r="F5" s="28"/>
    </row>
    <row r="6" spans="1:9" s="2" customFormat="1" ht="13.5" customHeight="1">
      <c r="A6" s="25"/>
      <c r="B6" s="29"/>
      <c r="D6" s="30"/>
    </row>
    <row r="7" spans="1:9" s="15" customFormat="1" ht="15.75" customHeight="1">
      <c r="A7" s="36" t="s">
        <v>228</v>
      </c>
      <c r="B7" s="36"/>
      <c r="C7" s="36"/>
      <c r="D7" s="36"/>
      <c r="E7" s="36"/>
      <c r="F7" s="36"/>
      <c r="G7" s="36"/>
    </row>
    <row r="8" spans="1:9" s="15" customFormat="1" ht="13.5" customHeight="1">
      <c r="A8" s="36"/>
      <c r="B8" s="36"/>
      <c r="C8" s="36"/>
      <c r="D8" s="36"/>
      <c r="E8" s="36"/>
      <c r="F8" s="36"/>
      <c r="G8" s="36"/>
    </row>
    <row r="9" spans="1:9" s="15" customFormat="1" ht="17.25" customHeight="1">
      <c r="A9" s="37" t="s">
        <v>252</v>
      </c>
      <c r="B9" s="37"/>
      <c r="C9" s="37"/>
      <c r="D9" s="37"/>
      <c r="E9" s="37"/>
      <c r="F9" s="37"/>
      <c r="G9" s="37"/>
    </row>
    <row r="10" spans="1:9" s="15" customFormat="1" ht="15.75">
      <c r="A10" s="16"/>
      <c r="B10" s="17"/>
      <c r="C10" s="11"/>
      <c r="D10" s="11"/>
      <c r="E10" s="12"/>
      <c r="F10" s="16"/>
      <c r="G10" s="12" t="s">
        <v>126</v>
      </c>
    </row>
    <row r="11" spans="1:9" s="20" customFormat="1" ht="78.75">
      <c r="A11" s="18" t="s">
        <v>0</v>
      </c>
      <c r="B11" s="19" t="s">
        <v>1</v>
      </c>
      <c r="C11" s="10" t="s">
        <v>254</v>
      </c>
      <c r="D11" s="10" t="s">
        <v>255</v>
      </c>
      <c r="E11" s="10" t="s">
        <v>267</v>
      </c>
      <c r="F11" s="10" t="s">
        <v>188</v>
      </c>
      <c r="G11" s="10" t="s">
        <v>229</v>
      </c>
      <c r="I11" s="10" t="s">
        <v>253</v>
      </c>
    </row>
    <row r="12" spans="1:9" s="5" customFormat="1" ht="18" customHeight="1">
      <c r="A12" s="3" t="s">
        <v>2</v>
      </c>
      <c r="B12" s="13" t="s">
        <v>3</v>
      </c>
      <c r="C12" s="4">
        <f>C13+C46</f>
        <v>291929189.88999999</v>
      </c>
      <c r="D12" s="4">
        <f>D13+D46</f>
        <v>138043348</v>
      </c>
      <c r="E12" s="4">
        <f>D12-C12</f>
        <v>-153885841.88999999</v>
      </c>
      <c r="F12" s="4">
        <f>F13+F46</f>
        <v>362030552.57999998</v>
      </c>
      <c r="G12" s="4">
        <f>G13+G46</f>
        <v>337033400.86000001</v>
      </c>
      <c r="H12" s="33" t="e">
        <f>H13+H46+#REF!</f>
        <v>#REF!</v>
      </c>
      <c r="I12" s="4">
        <f>I13+I46</f>
        <v>335423346.63999999</v>
      </c>
    </row>
    <row r="13" spans="1:9" s="5" customFormat="1" ht="15.75">
      <c r="A13" s="3"/>
      <c r="B13" s="13" t="s">
        <v>146</v>
      </c>
      <c r="C13" s="4">
        <f>C15+C24+C29+C37+C43</f>
        <v>264779586.79999998</v>
      </c>
      <c r="D13" s="4">
        <f>D15+D24+D29+D37+D43</f>
        <v>105033708</v>
      </c>
      <c r="E13" s="4">
        <f t="shared" ref="E13:E82" si="0">D13-C13</f>
        <v>-159745878.79999998</v>
      </c>
      <c r="F13" s="4">
        <f>F15+F24+F29+F37+F43</f>
        <v>326785089.02999997</v>
      </c>
      <c r="G13" s="4">
        <f>G15+G24+G29+G37+G43</f>
        <v>307053855.97000003</v>
      </c>
      <c r="H13" s="33">
        <f>H15+H24+H29+H37+H43</f>
        <v>617113325</v>
      </c>
      <c r="I13" s="4">
        <f>I15+I24+I29+I37+I43</f>
        <v>305511870.74000001</v>
      </c>
    </row>
    <row r="14" spans="1:9" s="5" customFormat="1" ht="15.75">
      <c r="A14" s="3" t="s">
        <v>4</v>
      </c>
      <c r="B14" s="13" t="s">
        <v>5</v>
      </c>
      <c r="C14" s="4">
        <f t="shared" ref="C14:D14" si="1">C15</f>
        <v>241179185.22</v>
      </c>
      <c r="D14" s="4">
        <f t="shared" si="1"/>
        <v>77717000</v>
      </c>
      <c r="E14" s="4">
        <f t="shared" ref="E14" si="2">D14-C14</f>
        <v>-163462185.22</v>
      </c>
      <c r="F14" s="4">
        <f t="shared" ref="F14:I14" si="3">F15</f>
        <v>298214089.02999997</v>
      </c>
      <c r="G14" s="4">
        <f t="shared" si="3"/>
        <v>278393855.97000003</v>
      </c>
      <c r="H14" s="33">
        <f t="shared" si="3"/>
        <v>553056795</v>
      </c>
      <c r="I14" s="4">
        <f t="shared" si="3"/>
        <v>275790870.74000001</v>
      </c>
    </row>
    <row r="15" spans="1:9" s="5" customFormat="1" ht="15.75">
      <c r="A15" s="3" t="s">
        <v>6</v>
      </c>
      <c r="B15" s="13" t="s">
        <v>7</v>
      </c>
      <c r="C15" s="4">
        <f>C16+C17+C18+C19+C20+C21+C22</f>
        <v>241179185.22</v>
      </c>
      <c r="D15" s="4">
        <f>D16+D17+D18+D19+D20</f>
        <v>77717000</v>
      </c>
      <c r="E15" s="4">
        <f t="shared" si="0"/>
        <v>-163462185.22</v>
      </c>
      <c r="F15" s="4">
        <f>SUM(F16:F20)</f>
        <v>298214089.02999997</v>
      </c>
      <c r="G15" s="4">
        <f>SUM(G16:G20)</f>
        <v>278393855.97000003</v>
      </c>
      <c r="H15" s="33">
        <f>SUM(H16:H20)</f>
        <v>553056795</v>
      </c>
      <c r="I15" s="4">
        <f>SUM(I16:I20)</f>
        <v>275790870.74000001</v>
      </c>
    </row>
    <row r="16" spans="1:9" ht="96" customHeight="1" outlineLevel="1">
      <c r="A16" s="21" t="s">
        <v>8</v>
      </c>
      <c r="B16" s="6" t="s">
        <v>9</v>
      </c>
      <c r="C16" s="7">
        <v>230812600.88</v>
      </c>
      <c r="D16" s="7">
        <v>75357000</v>
      </c>
      <c r="E16" s="7">
        <f t="shared" si="0"/>
        <v>-155455600.88</v>
      </c>
      <c r="F16" s="7">
        <v>280734089.02999997</v>
      </c>
      <c r="G16" s="7">
        <v>267093855.97</v>
      </c>
      <c r="H16" s="34">
        <f>547505330-12200000</f>
        <v>535305330</v>
      </c>
      <c r="I16" s="7">
        <v>265490870.74000001</v>
      </c>
    </row>
    <row r="17" spans="1:9" ht="141.75" outlineLevel="1">
      <c r="A17" s="21" t="s">
        <v>10</v>
      </c>
      <c r="B17" s="6" t="s">
        <v>11</v>
      </c>
      <c r="C17" s="7">
        <v>-4180.93</v>
      </c>
      <c r="D17" s="7">
        <v>120000</v>
      </c>
      <c r="E17" s="7">
        <f t="shared" si="0"/>
        <v>124180.93</v>
      </c>
      <c r="F17" s="7">
        <v>230000</v>
      </c>
      <c r="G17" s="7">
        <v>200000</v>
      </c>
      <c r="H17" s="34">
        <v>2449537</v>
      </c>
      <c r="I17" s="7">
        <v>200000</v>
      </c>
    </row>
    <row r="18" spans="1:9" ht="65.25" customHeight="1" outlineLevel="1">
      <c r="A18" s="21" t="s">
        <v>12</v>
      </c>
      <c r="B18" s="6" t="s">
        <v>13</v>
      </c>
      <c r="C18" s="7">
        <v>822017.98</v>
      </c>
      <c r="D18" s="7">
        <v>225000</v>
      </c>
      <c r="E18" s="7">
        <f t="shared" si="0"/>
        <v>-597017.98</v>
      </c>
      <c r="F18" s="7">
        <v>2000000</v>
      </c>
      <c r="G18" s="7">
        <v>1000000</v>
      </c>
      <c r="H18" s="34">
        <f>2486928+600000</f>
        <v>3086928</v>
      </c>
      <c r="I18" s="7">
        <v>1000000</v>
      </c>
    </row>
    <row r="19" spans="1:9" ht="111" customHeight="1" outlineLevel="1">
      <c r="A19" s="21" t="s">
        <v>14</v>
      </c>
      <c r="B19" s="6" t="s">
        <v>15</v>
      </c>
      <c r="C19" s="7">
        <v>91277.94</v>
      </c>
      <c r="D19" s="7">
        <v>15000</v>
      </c>
      <c r="E19" s="7">
        <f t="shared" si="0"/>
        <v>-76277.94</v>
      </c>
      <c r="F19" s="7">
        <v>250000</v>
      </c>
      <c r="G19" s="7">
        <v>100000</v>
      </c>
      <c r="H19" s="34">
        <v>615000</v>
      </c>
      <c r="I19" s="7">
        <v>100000</v>
      </c>
    </row>
    <row r="20" spans="1:9" ht="129.75" customHeight="1" outlineLevel="1">
      <c r="A20" s="21" t="s">
        <v>148</v>
      </c>
      <c r="B20" s="6" t="s">
        <v>149</v>
      </c>
      <c r="C20" s="7">
        <v>8009186.1900000004</v>
      </c>
      <c r="D20" s="7">
        <v>2000000</v>
      </c>
      <c r="E20" s="7">
        <f t="shared" si="0"/>
        <v>-6009186.1900000004</v>
      </c>
      <c r="F20" s="7">
        <v>15000000</v>
      </c>
      <c r="G20" s="7">
        <v>10000000</v>
      </c>
      <c r="H20" s="34">
        <v>11600000</v>
      </c>
      <c r="I20" s="7">
        <v>9000000</v>
      </c>
    </row>
    <row r="21" spans="1:9" ht="78" customHeight="1" outlineLevel="1">
      <c r="A21" s="21" t="s">
        <v>262</v>
      </c>
      <c r="B21" s="6" t="s">
        <v>263</v>
      </c>
      <c r="C21" s="7">
        <v>575642.61</v>
      </c>
      <c r="D21" s="7"/>
      <c r="E21" s="7"/>
      <c r="F21" s="7"/>
      <c r="G21" s="7"/>
      <c r="H21" s="34"/>
      <c r="I21" s="7"/>
    </row>
    <row r="22" spans="1:9" ht="78" customHeight="1" outlineLevel="1">
      <c r="A22" s="21" t="s">
        <v>264</v>
      </c>
      <c r="B22" s="6" t="s">
        <v>263</v>
      </c>
      <c r="C22" s="7">
        <v>872640.55</v>
      </c>
      <c r="D22" s="7"/>
      <c r="E22" s="7"/>
      <c r="F22" s="7"/>
      <c r="G22" s="7"/>
      <c r="H22" s="34"/>
      <c r="I22" s="7"/>
    </row>
    <row r="23" spans="1:9" s="5" customFormat="1" ht="47.25">
      <c r="A23" s="3" t="s">
        <v>16</v>
      </c>
      <c r="B23" s="13" t="s">
        <v>17</v>
      </c>
      <c r="C23" s="4">
        <f>C24</f>
        <v>13148557.32</v>
      </c>
      <c r="D23" s="4">
        <f>D24</f>
        <v>14564000</v>
      </c>
      <c r="E23" s="4">
        <f t="shared" si="0"/>
        <v>1415442.6799999997</v>
      </c>
      <c r="F23" s="4">
        <f>F24</f>
        <v>15162000</v>
      </c>
      <c r="G23" s="4">
        <f>G24</f>
        <v>16061000</v>
      </c>
      <c r="H23" s="33">
        <f>H24</f>
        <v>11588530</v>
      </c>
      <c r="I23" s="4">
        <f>I24</f>
        <v>16793000</v>
      </c>
    </row>
    <row r="24" spans="1:9" ht="47.25" outlineLevel="1">
      <c r="A24" s="3" t="s">
        <v>18</v>
      </c>
      <c r="B24" s="13" t="s">
        <v>19</v>
      </c>
      <c r="C24" s="4">
        <f>SUM(C25:C28)</f>
        <v>13148557.32</v>
      </c>
      <c r="D24" s="4">
        <f>SUM(D25:D28)</f>
        <v>14564000</v>
      </c>
      <c r="E24" s="4">
        <f t="shared" si="0"/>
        <v>1415442.6799999997</v>
      </c>
      <c r="F24" s="4">
        <f>SUM(F25:F28)</f>
        <v>15162000</v>
      </c>
      <c r="G24" s="4">
        <f>SUM(G25:G28)</f>
        <v>16061000</v>
      </c>
      <c r="H24" s="33">
        <f>SUM(H25:H28)</f>
        <v>11588530</v>
      </c>
      <c r="I24" s="4">
        <f>SUM(I25:I28)</f>
        <v>16793000</v>
      </c>
    </row>
    <row r="25" spans="1:9" ht="141.75" customHeight="1" outlineLevel="1">
      <c r="A25" s="21" t="s">
        <v>20</v>
      </c>
      <c r="B25" s="6" t="s">
        <v>21</v>
      </c>
      <c r="C25" s="7">
        <v>6812984.29</v>
      </c>
      <c r="D25" s="7">
        <v>7528000</v>
      </c>
      <c r="E25" s="7">
        <f t="shared" si="0"/>
        <v>715015.71</v>
      </c>
      <c r="F25" s="7">
        <v>8082000</v>
      </c>
      <c r="G25" s="7">
        <v>8451000</v>
      </c>
      <c r="H25" s="34">
        <v>5321040</v>
      </c>
      <c r="I25" s="7">
        <v>8840000</v>
      </c>
    </row>
    <row r="26" spans="1:9" ht="162" customHeight="1" outlineLevel="1">
      <c r="A26" s="21" t="s">
        <v>22</v>
      </c>
      <c r="B26" s="6" t="s">
        <v>23</v>
      </c>
      <c r="C26" s="7">
        <v>35583.519999999997</v>
      </c>
      <c r="D26" s="7">
        <v>35000</v>
      </c>
      <c r="E26" s="7">
        <f t="shared" si="0"/>
        <v>-583.5199999999968</v>
      </c>
      <c r="F26" s="7">
        <v>41000</v>
      </c>
      <c r="G26" s="7">
        <v>44000</v>
      </c>
      <c r="H26" s="34">
        <v>30320</v>
      </c>
      <c r="I26" s="7">
        <v>46000</v>
      </c>
    </row>
    <row r="27" spans="1:9" ht="143.25" customHeight="1" outlineLevel="1">
      <c r="A27" s="21" t="s">
        <v>24</v>
      </c>
      <c r="B27" s="6" t="s">
        <v>25</v>
      </c>
      <c r="C27" s="7">
        <v>7041750.8600000003</v>
      </c>
      <c r="D27" s="7">
        <v>8017000</v>
      </c>
      <c r="E27" s="7">
        <f t="shared" si="0"/>
        <v>975249.13999999966</v>
      </c>
      <c r="F27" s="7">
        <v>8297000</v>
      </c>
      <c r="G27" s="7">
        <v>8858000</v>
      </c>
      <c r="H27" s="34">
        <v>6999520</v>
      </c>
      <c r="I27" s="7">
        <v>9248000</v>
      </c>
    </row>
    <row r="28" spans="1:9" ht="143.25" customHeight="1" outlineLevel="1">
      <c r="A28" s="21" t="s">
        <v>26</v>
      </c>
      <c r="B28" s="6" t="s">
        <v>27</v>
      </c>
      <c r="C28" s="7">
        <v>-741761.35</v>
      </c>
      <c r="D28" s="7">
        <v>-1016000</v>
      </c>
      <c r="E28" s="7">
        <f t="shared" si="0"/>
        <v>-274238.65000000002</v>
      </c>
      <c r="F28" s="7">
        <v>-1258000</v>
      </c>
      <c r="G28" s="7">
        <v>-1292000</v>
      </c>
      <c r="H28" s="34">
        <v>-762350</v>
      </c>
      <c r="I28" s="7">
        <v>-1341000</v>
      </c>
    </row>
    <row r="29" spans="1:9" s="5" customFormat="1" ht="15.75">
      <c r="A29" s="3" t="s">
        <v>28</v>
      </c>
      <c r="B29" s="13" t="s">
        <v>29</v>
      </c>
      <c r="C29" s="4">
        <f>C30+C33+C35+C36</f>
        <v>1906220.8900000001</v>
      </c>
      <c r="D29" s="4">
        <f>D30+D33+D35+D36</f>
        <v>3862708</v>
      </c>
      <c r="E29" s="4">
        <f t="shared" si="0"/>
        <v>1956487.1099999999</v>
      </c>
      <c r="F29" s="4">
        <f>F30+F33+F35+F36</f>
        <v>4071000</v>
      </c>
      <c r="G29" s="4">
        <f>G30+G33+G35+G36</f>
        <v>3180000</v>
      </c>
      <c r="H29" s="33">
        <f>H30+H33+H35+H36</f>
        <v>19223000</v>
      </c>
      <c r="I29" s="4">
        <f>I30+I33+I35+I36</f>
        <v>3426000</v>
      </c>
    </row>
    <row r="30" spans="1:9" s="5" customFormat="1" ht="31.5" outlineLevel="1">
      <c r="A30" s="3" t="s">
        <v>140</v>
      </c>
      <c r="B30" s="13" t="s">
        <v>141</v>
      </c>
      <c r="C30" s="4">
        <f>SUM(C31:C32)</f>
        <v>465504.83999999997</v>
      </c>
      <c r="D30" s="4">
        <f>SUM(D31:D32)</f>
        <v>541708</v>
      </c>
      <c r="E30" s="4">
        <f t="shared" ref="E30:E32" si="4">D30-C30</f>
        <v>76203.160000000033</v>
      </c>
      <c r="F30" s="4">
        <f>SUM(F31:F32)</f>
        <v>557000</v>
      </c>
      <c r="G30" s="4">
        <f>SUM(G31:G32)</f>
        <v>605000</v>
      </c>
      <c r="H30" s="33">
        <f>SUM(H31:H32)</f>
        <v>2259000</v>
      </c>
      <c r="I30" s="4">
        <f>SUM(I31:I32)</f>
        <v>662000</v>
      </c>
    </row>
    <row r="31" spans="1:9" ht="47.25" outlineLevel="1">
      <c r="A31" s="21" t="s">
        <v>142</v>
      </c>
      <c r="B31" s="6" t="s">
        <v>143</v>
      </c>
      <c r="C31" s="7">
        <v>299101.32</v>
      </c>
      <c r="D31" s="7">
        <v>330708</v>
      </c>
      <c r="E31" s="7">
        <f t="shared" si="4"/>
        <v>31606.679999999993</v>
      </c>
      <c r="F31" s="7">
        <v>330000</v>
      </c>
      <c r="G31" s="7">
        <v>355000</v>
      </c>
      <c r="H31" s="34">
        <f>1468767-181137</f>
        <v>1287630</v>
      </c>
      <c r="I31" s="7">
        <v>355000</v>
      </c>
    </row>
    <row r="32" spans="1:9" ht="48.75" customHeight="1" outlineLevel="1">
      <c r="A32" s="21" t="s">
        <v>144</v>
      </c>
      <c r="B32" s="6" t="s">
        <v>145</v>
      </c>
      <c r="C32" s="7">
        <v>166403.51999999999</v>
      </c>
      <c r="D32" s="7">
        <v>211000</v>
      </c>
      <c r="E32" s="7">
        <f t="shared" si="4"/>
        <v>44596.48000000001</v>
      </c>
      <c r="F32" s="7">
        <v>227000</v>
      </c>
      <c r="G32" s="7">
        <v>250000</v>
      </c>
      <c r="H32" s="34">
        <f>515523+455847</f>
        <v>971370</v>
      </c>
      <c r="I32" s="7">
        <v>307000</v>
      </c>
    </row>
    <row r="33" spans="1:9" s="5" customFormat="1" ht="31.5" outlineLevel="1">
      <c r="A33" s="3" t="s">
        <v>30</v>
      </c>
      <c r="B33" s="13" t="s">
        <v>31</v>
      </c>
      <c r="C33" s="4">
        <f>SUM(C34:C34)</f>
        <v>-104115.12</v>
      </c>
      <c r="D33" s="4">
        <v>9000</v>
      </c>
      <c r="E33" s="4">
        <f t="shared" si="0"/>
        <v>113115.12</v>
      </c>
      <c r="F33" s="4">
        <f>SUM(F34:F34)</f>
        <v>0</v>
      </c>
      <c r="G33" s="4">
        <f>SUM(G34:G34)</f>
        <v>0</v>
      </c>
      <c r="H33" s="33">
        <f>SUM(H34:H34)</f>
        <v>0</v>
      </c>
      <c r="I33" s="7"/>
    </row>
    <row r="34" spans="1:9" ht="31.5" customHeight="1" outlineLevel="1">
      <c r="A34" s="21" t="s">
        <v>32</v>
      </c>
      <c r="B34" s="6" t="s">
        <v>31</v>
      </c>
      <c r="C34" s="7">
        <v>-104115.12</v>
      </c>
      <c r="D34" s="7">
        <v>9000</v>
      </c>
      <c r="E34" s="7">
        <f t="shared" si="0"/>
        <v>113115.12</v>
      </c>
      <c r="F34" s="7"/>
      <c r="G34" s="7"/>
      <c r="H34" s="34"/>
      <c r="I34" s="7"/>
    </row>
    <row r="35" spans="1:9" s="5" customFormat="1" ht="15.75" outlineLevel="1">
      <c r="A35" s="3" t="s">
        <v>33</v>
      </c>
      <c r="B35" s="13" t="s">
        <v>34</v>
      </c>
      <c r="C35" s="4">
        <v>433084.8</v>
      </c>
      <c r="D35" s="4">
        <v>693000</v>
      </c>
      <c r="E35" s="4">
        <f t="shared" si="0"/>
        <v>259915.2</v>
      </c>
      <c r="F35" s="4">
        <v>546000</v>
      </c>
      <c r="G35" s="4">
        <v>582000</v>
      </c>
      <c r="H35" s="33">
        <f>2496000+3176000</f>
        <v>5672000</v>
      </c>
      <c r="I35" s="7">
        <v>625000</v>
      </c>
    </row>
    <row r="36" spans="1:9" s="5" customFormat="1" ht="63" outlineLevel="1">
      <c r="A36" s="3" t="s">
        <v>35</v>
      </c>
      <c r="B36" s="13" t="s">
        <v>224</v>
      </c>
      <c r="C36" s="4">
        <v>1111746.3700000001</v>
      </c>
      <c r="D36" s="4">
        <v>2619000</v>
      </c>
      <c r="E36" s="4">
        <f t="shared" si="0"/>
        <v>1507253.63</v>
      </c>
      <c r="F36" s="4">
        <v>2968000</v>
      </c>
      <c r="G36" s="4">
        <v>1993000</v>
      </c>
      <c r="H36" s="33">
        <f>621000+10671000</f>
        <v>11292000</v>
      </c>
      <c r="I36" s="4">
        <v>2139000</v>
      </c>
    </row>
    <row r="37" spans="1:9" s="5" customFormat="1" ht="15.75">
      <c r="A37" s="3" t="s">
        <v>36</v>
      </c>
      <c r="B37" s="13" t="s">
        <v>37</v>
      </c>
      <c r="C37" s="4">
        <f>C39+C40</f>
        <v>6895114.4700000007</v>
      </c>
      <c r="D37" s="4">
        <f>D39+D40</f>
        <v>7300000</v>
      </c>
      <c r="E37" s="4">
        <f t="shared" si="0"/>
        <v>404885.52999999933</v>
      </c>
      <c r="F37" s="4">
        <f>F39+F40</f>
        <v>7820000</v>
      </c>
      <c r="G37" s="4">
        <f>G39+G40</f>
        <v>7891000</v>
      </c>
      <c r="H37" s="33">
        <f>H39+H40</f>
        <v>26189000</v>
      </c>
      <c r="I37" s="4">
        <f>I39+I40</f>
        <v>7974000</v>
      </c>
    </row>
    <row r="38" spans="1:9" s="5" customFormat="1" ht="31.5" outlineLevel="1">
      <c r="A38" s="3" t="s">
        <v>38</v>
      </c>
      <c r="B38" s="13" t="s">
        <v>39</v>
      </c>
      <c r="C38" s="4">
        <f>C39</f>
        <v>2689532.07</v>
      </c>
      <c r="D38" s="4">
        <f>D39</f>
        <v>2300000</v>
      </c>
      <c r="E38" s="4">
        <f t="shared" si="0"/>
        <v>-389532.06999999983</v>
      </c>
      <c r="F38" s="4">
        <f>F39</f>
        <v>3096000</v>
      </c>
      <c r="G38" s="4">
        <f>G39</f>
        <v>3100000</v>
      </c>
      <c r="H38" s="33">
        <f>H39</f>
        <v>16431000</v>
      </c>
      <c r="I38" s="4">
        <f>I39</f>
        <v>3150000</v>
      </c>
    </row>
    <row r="39" spans="1:9" ht="65.25" customHeight="1" outlineLevel="1">
      <c r="A39" s="21" t="s">
        <v>168</v>
      </c>
      <c r="B39" s="6" t="s">
        <v>223</v>
      </c>
      <c r="C39" s="7">
        <v>2689532.07</v>
      </c>
      <c r="D39" s="7">
        <v>2300000</v>
      </c>
      <c r="E39" s="7">
        <f t="shared" si="0"/>
        <v>-389532.06999999983</v>
      </c>
      <c r="F39" s="7">
        <v>3096000</v>
      </c>
      <c r="G39" s="7">
        <v>3100000</v>
      </c>
      <c r="H39" s="34">
        <v>16431000</v>
      </c>
      <c r="I39" s="4">
        <v>3150000</v>
      </c>
    </row>
    <row r="40" spans="1:9" s="5" customFormat="1" ht="15.75" outlineLevel="1">
      <c r="A40" s="3" t="s">
        <v>40</v>
      </c>
      <c r="B40" s="13" t="s">
        <v>41</v>
      </c>
      <c r="C40" s="4">
        <f>SUM(C41:C42)</f>
        <v>4205582.4000000004</v>
      </c>
      <c r="D40" s="4">
        <f>SUM(D41:D42)</f>
        <v>5000000</v>
      </c>
      <c r="E40" s="4">
        <f t="shared" si="0"/>
        <v>794417.59999999963</v>
      </c>
      <c r="F40" s="4">
        <f>SUM(F41:F42)</f>
        <v>4724000</v>
      </c>
      <c r="G40" s="4">
        <f>SUM(G41:G42)</f>
        <v>4791000</v>
      </c>
      <c r="H40" s="33">
        <f>SUM(H41:H42)</f>
        <v>9758000</v>
      </c>
      <c r="I40" s="4">
        <f>SUM(I41:I42)</f>
        <v>4824000</v>
      </c>
    </row>
    <row r="41" spans="1:9" ht="48" customHeight="1" outlineLevel="1">
      <c r="A41" s="21" t="s">
        <v>166</v>
      </c>
      <c r="B41" s="6" t="s">
        <v>221</v>
      </c>
      <c r="C41" s="7">
        <v>1849668.2</v>
      </c>
      <c r="D41" s="7">
        <v>2500000</v>
      </c>
      <c r="E41" s="7">
        <f t="shared" si="0"/>
        <v>650331.80000000005</v>
      </c>
      <c r="F41" s="7">
        <v>1428000</v>
      </c>
      <c r="G41" s="7">
        <v>1428000</v>
      </c>
      <c r="H41" s="34">
        <f>15432000-9008000</f>
        <v>6424000</v>
      </c>
      <c r="I41" s="4">
        <v>1428000</v>
      </c>
    </row>
    <row r="42" spans="1:9" ht="48.75" customHeight="1" outlineLevel="1">
      <c r="A42" s="21" t="s">
        <v>167</v>
      </c>
      <c r="B42" s="6" t="s">
        <v>222</v>
      </c>
      <c r="C42" s="7">
        <v>2355914.2000000002</v>
      </c>
      <c r="D42" s="7">
        <v>2500000</v>
      </c>
      <c r="E42" s="7">
        <f t="shared" si="0"/>
        <v>144085.79999999981</v>
      </c>
      <c r="F42" s="7">
        <v>3296000</v>
      </c>
      <c r="G42" s="7">
        <v>3363000</v>
      </c>
      <c r="H42" s="34">
        <f>5638000-2304000</f>
        <v>3334000</v>
      </c>
      <c r="I42" s="7">
        <v>3396000</v>
      </c>
    </row>
    <row r="43" spans="1:9" s="5" customFormat="1" ht="15.75">
      <c r="A43" s="3" t="s">
        <v>42</v>
      </c>
      <c r="B43" s="13" t="s">
        <v>43</v>
      </c>
      <c r="C43" s="4">
        <f>C44+C45</f>
        <v>1650508.9</v>
      </c>
      <c r="D43" s="4">
        <f>D44+D45</f>
        <v>1590000</v>
      </c>
      <c r="E43" s="4">
        <f t="shared" si="0"/>
        <v>-60508.899999999907</v>
      </c>
      <c r="F43" s="4">
        <f>F44+F45</f>
        <v>1518000</v>
      </c>
      <c r="G43" s="4">
        <f>G44+G45</f>
        <v>1528000</v>
      </c>
      <c r="H43" s="33">
        <f>SUM(H44:H44)</f>
        <v>7056000</v>
      </c>
      <c r="I43" s="4">
        <f>I44+I45</f>
        <v>1528000</v>
      </c>
    </row>
    <row r="44" spans="1:9" ht="63.75" customHeight="1" outlineLevel="1">
      <c r="A44" s="21" t="s">
        <v>44</v>
      </c>
      <c r="B44" s="6" t="s">
        <v>45</v>
      </c>
      <c r="C44" s="7">
        <v>1610968.9</v>
      </c>
      <c r="D44" s="7">
        <v>1540000</v>
      </c>
      <c r="E44" s="7">
        <f t="shared" si="0"/>
        <v>-70968.899999999907</v>
      </c>
      <c r="F44" s="7">
        <v>1468000</v>
      </c>
      <c r="G44" s="7">
        <v>1468000</v>
      </c>
      <c r="H44" s="34">
        <v>7056000</v>
      </c>
      <c r="I44" s="7">
        <v>1468000</v>
      </c>
    </row>
    <row r="45" spans="1:9" ht="81.75" customHeight="1" outlineLevel="1">
      <c r="A45" s="21" t="s">
        <v>237</v>
      </c>
      <c r="B45" s="6" t="s">
        <v>238</v>
      </c>
      <c r="C45" s="7">
        <v>39540</v>
      </c>
      <c r="D45" s="7">
        <v>50000</v>
      </c>
      <c r="E45" s="7">
        <f t="shared" si="0"/>
        <v>10460</v>
      </c>
      <c r="F45" s="7">
        <v>50000</v>
      </c>
      <c r="G45" s="7">
        <v>60000</v>
      </c>
      <c r="H45" s="34"/>
      <c r="I45" s="7">
        <v>60000</v>
      </c>
    </row>
    <row r="46" spans="1:9" ht="15.75">
      <c r="A46" s="3"/>
      <c r="B46" s="13" t="s">
        <v>46</v>
      </c>
      <c r="C46" s="4">
        <f>C47+C58+C64+C70+C76+C99</f>
        <v>27149603.09</v>
      </c>
      <c r="D46" s="4">
        <f>D47+D58+D64+D70+D76+D99</f>
        <v>33009640</v>
      </c>
      <c r="E46" s="4">
        <f t="shared" si="0"/>
        <v>5860036.9100000001</v>
      </c>
      <c r="F46" s="4">
        <f>F47+F58+F64+F70+F76+F99</f>
        <v>35245463.549999997</v>
      </c>
      <c r="G46" s="4">
        <f>G47+G58+G64+G70+G76+G99</f>
        <v>29979544.890000001</v>
      </c>
      <c r="H46" s="33" t="e">
        <f>H47+H58+H64+H70+H76+H99</f>
        <v>#REF!</v>
      </c>
      <c r="I46" s="4">
        <f>I47+I58+I64+I70+I76+I99</f>
        <v>29911475.899999999</v>
      </c>
    </row>
    <row r="47" spans="1:9" ht="63">
      <c r="A47" s="3" t="s">
        <v>47</v>
      </c>
      <c r="B47" s="13" t="s">
        <v>48</v>
      </c>
      <c r="C47" s="4">
        <f>C48+C54+C52</f>
        <v>14707465.35</v>
      </c>
      <c r="D47" s="4">
        <f>D48+D54+D52</f>
        <v>25979741</v>
      </c>
      <c r="E47" s="4">
        <f t="shared" si="0"/>
        <v>11272275.65</v>
      </c>
      <c r="F47" s="4">
        <f>F48+F54+F52</f>
        <v>26221883.550000001</v>
      </c>
      <c r="G47" s="4">
        <f>G48+G54+G52</f>
        <v>26139181.640000001</v>
      </c>
      <c r="H47" s="33">
        <f>H48+H54+H52</f>
        <v>23497210</v>
      </c>
      <c r="I47" s="4">
        <f>I48+I54+I52</f>
        <v>26253657.899999999</v>
      </c>
    </row>
    <row r="48" spans="1:9" s="5" customFormat="1" ht="141" customHeight="1" outlineLevel="1">
      <c r="A48" s="3" t="s">
        <v>49</v>
      </c>
      <c r="B48" s="13" t="s">
        <v>50</v>
      </c>
      <c r="C48" s="22">
        <f>SUM(C49:C51)</f>
        <v>14699065.35</v>
      </c>
      <c r="D48" s="22">
        <f>SUM(D49:D51)</f>
        <v>25972741</v>
      </c>
      <c r="E48" s="22">
        <f t="shared" si="0"/>
        <v>11273675.65</v>
      </c>
      <c r="F48" s="22">
        <f>SUM(F49:F51)</f>
        <v>26214883.550000001</v>
      </c>
      <c r="G48" s="22">
        <f>SUM(G49:G51)</f>
        <v>26131181.640000001</v>
      </c>
      <c r="H48" s="35">
        <f>SUM(H49:H51)</f>
        <v>15382090</v>
      </c>
      <c r="I48" s="22">
        <f>SUM(I49:I51)</f>
        <v>26243657.899999999</v>
      </c>
    </row>
    <row r="49" spans="1:9" ht="98.25" customHeight="1" outlineLevel="1">
      <c r="A49" s="21" t="s">
        <v>169</v>
      </c>
      <c r="B49" s="6" t="s">
        <v>51</v>
      </c>
      <c r="C49" s="7">
        <v>11941278.939999999</v>
      </c>
      <c r="D49" s="7">
        <v>22146600</v>
      </c>
      <c r="E49" s="7">
        <f t="shared" si="0"/>
        <v>10205321.060000001</v>
      </c>
      <c r="F49" s="7">
        <v>22220264.949999999</v>
      </c>
      <c r="G49" s="7">
        <v>22340272.949999999</v>
      </c>
      <c r="H49" s="34">
        <v>7373290</v>
      </c>
      <c r="I49" s="7">
        <v>22490273.949999999</v>
      </c>
    </row>
    <row r="50" spans="1:9" ht="96.75" customHeight="1" outlineLevel="1">
      <c r="A50" s="21" t="s">
        <v>170</v>
      </c>
      <c r="B50" s="6" t="s">
        <v>52</v>
      </c>
      <c r="C50" s="7">
        <v>192410.85</v>
      </c>
      <c r="D50" s="7">
        <v>227652</v>
      </c>
      <c r="E50" s="7">
        <f t="shared" si="0"/>
        <v>35241.149999999994</v>
      </c>
      <c r="F50" s="7">
        <v>131974</v>
      </c>
      <c r="G50" s="7">
        <v>134614</v>
      </c>
      <c r="H50" s="34">
        <f>9000-200</f>
        <v>8800</v>
      </c>
      <c r="I50" s="7">
        <v>137306</v>
      </c>
    </row>
    <row r="51" spans="1:9" ht="48.75" customHeight="1" outlineLevel="1">
      <c r="A51" s="21" t="s">
        <v>171</v>
      </c>
      <c r="B51" s="6" t="s">
        <v>53</v>
      </c>
      <c r="C51" s="7">
        <v>2565375.56</v>
      </c>
      <c r="D51" s="7">
        <v>3598489</v>
      </c>
      <c r="E51" s="7">
        <f t="shared" si="0"/>
        <v>1033113.44</v>
      </c>
      <c r="F51" s="7">
        <v>3862644.6</v>
      </c>
      <c r="G51" s="7">
        <v>3656294.69</v>
      </c>
      <c r="H51" s="34">
        <v>8000000</v>
      </c>
      <c r="I51" s="7">
        <v>3616077.95</v>
      </c>
    </row>
    <row r="52" spans="1:9" s="5" customFormat="1" ht="34.5" customHeight="1" outlineLevel="1">
      <c r="A52" s="3" t="s">
        <v>54</v>
      </c>
      <c r="B52" s="13" t="s">
        <v>55</v>
      </c>
      <c r="C52" s="4">
        <f>C53</f>
        <v>0</v>
      </c>
      <c r="D52" s="4">
        <f>D53</f>
        <v>0</v>
      </c>
      <c r="E52" s="4">
        <f t="shared" si="0"/>
        <v>0</v>
      </c>
      <c r="F52" s="4">
        <f>F53</f>
        <v>0</v>
      </c>
      <c r="G52" s="4">
        <f>G53</f>
        <v>0</v>
      </c>
      <c r="H52" s="33">
        <f>H53</f>
        <v>4700</v>
      </c>
      <c r="I52" s="7"/>
    </row>
    <row r="53" spans="1:9" ht="66" customHeight="1" outlineLevel="1">
      <c r="A53" s="21" t="s">
        <v>172</v>
      </c>
      <c r="B53" s="6" t="s">
        <v>56</v>
      </c>
      <c r="C53" s="7"/>
      <c r="D53" s="7"/>
      <c r="E53" s="7">
        <f t="shared" si="0"/>
        <v>0</v>
      </c>
      <c r="F53" s="7"/>
      <c r="G53" s="7"/>
      <c r="H53" s="34">
        <f>19000-14300</f>
        <v>4700</v>
      </c>
      <c r="I53" s="4"/>
    </row>
    <row r="54" spans="1:9" s="5" customFormat="1" ht="108" customHeight="1" outlineLevel="1">
      <c r="A54" s="3" t="s">
        <v>57</v>
      </c>
      <c r="B54" s="13" t="s">
        <v>58</v>
      </c>
      <c r="C54" s="4">
        <f>SUM(C55:C57)</f>
        <v>8400</v>
      </c>
      <c r="D54" s="4">
        <f>SUM(D55:D57)</f>
        <v>7000</v>
      </c>
      <c r="E54" s="4">
        <f t="shared" si="0"/>
        <v>-1400</v>
      </c>
      <c r="F54" s="4">
        <f>SUM(F55:F57)</f>
        <v>7000</v>
      </c>
      <c r="G54" s="4">
        <f>SUM(G55:G57)</f>
        <v>8000</v>
      </c>
      <c r="H54" s="34">
        <f>SUM(H55:H57)</f>
        <v>8110420</v>
      </c>
      <c r="I54" s="4">
        <f>SUM(I55:I57)</f>
        <v>10000</v>
      </c>
    </row>
    <row r="55" spans="1:9" ht="144" customHeight="1" outlineLevel="1">
      <c r="A55" s="21" t="s">
        <v>173</v>
      </c>
      <c r="B55" s="6" t="s">
        <v>174</v>
      </c>
      <c r="C55" s="7">
        <v>8400</v>
      </c>
      <c r="D55" s="7">
        <v>7000</v>
      </c>
      <c r="E55" s="7">
        <f t="shared" si="0"/>
        <v>-1400</v>
      </c>
      <c r="F55" s="7">
        <v>7000</v>
      </c>
      <c r="G55" s="7">
        <v>8000</v>
      </c>
      <c r="H55" s="34"/>
      <c r="I55" s="7">
        <v>10000</v>
      </c>
    </row>
    <row r="56" spans="1:9" ht="31.5" hidden="1" outlineLevel="1">
      <c r="A56" s="21" t="s">
        <v>162</v>
      </c>
      <c r="B56" s="6" t="s">
        <v>164</v>
      </c>
      <c r="C56" s="7"/>
      <c r="D56" s="7"/>
      <c r="E56" s="7"/>
      <c r="F56" s="7"/>
      <c r="G56" s="7"/>
      <c r="H56" s="34">
        <v>1500000</v>
      </c>
      <c r="I56" s="7"/>
    </row>
    <row r="57" spans="1:9" ht="27.75" hidden="1" customHeight="1" outlineLevel="1">
      <c r="A57" s="21" t="s">
        <v>163</v>
      </c>
      <c r="B57" s="6" t="s">
        <v>165</v>
      </c>
      <c r="C57" s="7"/>
      <c r="D57" s="7"/>
      <c r="E57" s="7"/>
      <c r="F57" s="7"/>
      <c r="G57" s="7"/>
      <c r="H57" s="34">
        <f>5920660+689760</f>
        <v>6610420</v>
      </c>
      <c r="I57" s="7"/>
    </row>
    <row r="58" spans="1:9" s="5" customFormat="1" ht="33.75" customHeight="1" collapsed="1">
      <c r="A58" s="3" t="s">
        <v>59</v>
      </c>
      <c r="B58" s="13" t="s">
        <v>60</v>
      </c>
      <c r="C58" s="4">
        <f>C59</f>
        <v>396250.67000000004</v>
      </c>
      <c r="D58" s="4">
        <f>D59</f>
        <v>345000</v>
      </c>
      <c r="E58" s="4">
        <f t="shared" si="0"/>
        <v>-51250.670000000042</v>
      </c>
      <c r="F58" s="4">
        <f>F59</f>
        <v>506000</v>
      </c>
      <c r="G58" s="4">
        <f>G59</f>
        <v>506000</v>
      </c>
      <c r="H58" s="33">
        <f>H59+H62</f>
        <v>1250000</v>
      </c>
      <c r="I58" s="4">
        <f>I59</f>
        <v>506000</v>
      </c>
    </row>
    <row r="59" spans="1:9" s="5" customFormat="1" ht="33.75" customHeight="1" outlineLevel="1">
      <c r="A59" s="3" t="s">
        <v>61</v>
      </c>
      <c r="B59" s="13" t="s">
        <v>62</v>
      </c>
      <c r="C59" s="4">
        <f>C60+C61+C62</f>
        <v>396250.67000000004</v>
      </c>
      <c r="D59" s="4">
        <f>D60+D61+D62</f>
        <v>345000</v>
      </c>
      <c r="E59" s="4">
        <f t="shared" si="0"/>
        <v>-51250.670000000042</v>
      </c>
      <c r="F59" s="4">
        <f>F60+F61+F62</f>
        <v>506000</v>
      </c>
      <c r="G59" s="4">
        <f>G60+G61+G62</f>
        <v>506000</v>
      </c>
      <c r="H59" s="33">
        <f>SUM(H60:H61)</f>
        <v>550000</v>
      </c>
      <c r="I59" s="4">
        <f>I60+I61+I62</f>
        <v>506000</v>
      </c>
    </row>
    <row r="60" spans="1:9" ht="33.75" customHeight="1" outlineLevel="1">
      <c r="A60" s="21" t="s">
        <v>63</v>
      </c>
      <c r="B60" s="6" t="s">
        <v>64</v>
      </c>
      <c r="C60" s="7">
        <v>18775.580000000002</v>
      </c>
      <c r="D60" s="7">
        <v>15000</v>
      </c>
      <c r="E60" s="7">
        <f t="shared" si="0"/>
        <v>-3775.5800000000017</v>
      </c>
      <c r="F60" s="7">
        <v>36000</v>
      </c>
      <c r="G60" s="7">
        <v>36000</v>
      </c>
      <c r="H60" s="34">
        <f>300000-250000</f>
        <v>50000</v>
      </c>
      <c r="I60" s="7">
        <v>36000</v>
      </c>
    </row>
    <row r="61" spans="1:9" ht="33" customHeight="1" outlineLevel="1">
      <c r="A61" s="21" t="s">
        <v>65</v>
      </c>
      <c r="B61" s="6" t="s">
        <v>66</v>
      </c>
      <c r="C61" s="7">
        <v>373720.76</v>
      </c>
      <c r="D61" s="7">
        <v>300000</v>
      </c>
      <c r="E61" s="7">
        <f t="shared" si="0"/>
        <v>-73720.760000000009</v>
      </c>
      <c r="F61" s="7">
        <v>420000</v>
      </c>
      <c r="G61" s="7">
        <v>420000</v>
      </c>
      <c r="H61" s="34">
        <f>1700000-1200000</f>
        <v>500000</v>
      </c>
      <c r="I61" s="7">
        <v>420000</v>
      </c>
    </row>
    <row r="62" spans="1:9" s="5" customFormat="1" ht="33.75" customHeight="1" outlineLevel="1">
      <c r="A62" s="3" t="s">
        <v>67</v>
      </c>
      <c r="B62" s="13" t="s">
        <v>68</v>
      </c>
      <c r="C62" s="4">
        <f>SUM(C63:C63)</f>
        <v>3754.33</v>
      </c>
      <c r="D62" s="4">
        <f>SUM(D63:D63)</f>
        <v>30000</v>
      </c>
      <c r="E62" s="4">
        <f t="shared" si="0"/>
        <v>26245.67</v>
      </c>
      <c r="F62" s="4">
        <f>SUM(F63:F63)</f>
        <v>50000</v>
      </c>
      <c r="G62" s="4">
        <f>SUM(G63:G63)</f>
        <v>50000</v>
      </c>
      <c r="H62" s="33">
        <f>SUM(H63:H63)</f>
        <v>700000</v>
      </c>
      <c r="I62" s="4">
        <f>SUM(I63:I63)</f>
        <v>50000</v>
      </c>
    </row>
    <row r="63" spans="1:9" ht="18" customHeight="1" outlineLevel="1">
      <c r="A63" s="21" t="s">
        <v>69</v>
      </c>
      <c r="B63" s="6" t="s">
        <v>70</v>
      </c>
      <c r="C63" s="7">
        <v>3754.33</v>
      </c>
      <c r="D63" s="7">
        <v>30000</v>
      </c>
      <c r="E63" s="7">
        <f t="shared" si="0"/>
        <v>26245.67</v>
      </c>
      <c r="F63" s="7">
        <v>50000</v>
      </c>
      <c r="G63" s="7">
        <v>50000</v>
      </c>
      <c r="H63" s="34">
        <f>300000+400000</f>
        <v>700000</v>
      </c>
      <c r="I63" s="7">
        <v>50000</v>
      </c>
    </row>
    <row r="64" spans="1:9" s="5" customFormat="1" ht="30" customHeight="1">
      <c r="A64" s="3" t="s">
        <v>71</v>
      </c>
      <c r="B64" s="13" t="s">
        <v>72</v>
      </c>
      <c r="C64" s="4">
        <f>C65+C67</f>
        <v>514435.43</v>
      </c>
      <c r="D64" s="4">
        <f>D65+D67</f>
        <v>584899</v>
      </c>
      <c r="E64" s="4">
        <f t="shared" si="0"/>
        <v>70463.570000000007</v>
      </c>
      <c r="F64" s="4">
        <f>F65+F67</f>
        <v>467580</v>
      </c>
      <c r="G64" s="4">
        <f>G65+G67</f>
        <v>484363.25</v>
      </c>
      <c r="H64" s="33">
        <f>H65+H67</f>
        <v>4202912.91</v>
      </c>
      <c r="I64" s="4">
        <f>I65+I67</f>
        <v>501818</v>
      </c>
    </row>
    <row r="65" spans="1:9" s="5" customFormat="1" ht="18" customHeight="1" outlineLevel="1">
      <c r="A65" s="3" t="s">
        <v>73</v>
      </c>
      <c r="B65" s="13" t="s">
        <v>74</v>
      </c>
      <c r="C65" s="4">
        <f>C66</f>
        <v>0</v>
      </c>
      <c r="D65" s="4">
        <f>D66</f>
        <v>0</v>
      </c>
      <c r="E65" s="4">
        <f t="shared" si="0"/>
        <v>0</v>
      </c>
      <c r="F65" s="4">
        <f>F66</f>
        <v>0</v>
      </c>
      <c r="G65" s="4">
        <f>G66</f>
        <v>0</v>
      </c>
      <c r="H65" s="33">
        <f>H66</f>
        <v>527161.51</v>
      </c>
      <c r="I65" s="4"/>
    </row>
    <row r="66" spans="1:9" ht="46.5" customHeight="1" outlineLevel="1">
      <c r="A66" s="21" t="s">
        <v>248</v>
      </c>
      <c r="B66" s="6" t="s">
        <v>247</v>
      </c>
      <c r="C66" s="7"/>
      <c r="D66" s="7"/>
      <c r="E66" s="7">
        <f t="shared" si="0"/>
        <v>0</v>
      </c>
      <c r="F66" s="7"/>
      <c r="G66" s="7"/>
      <c r="H66" s="34">
        <v>527161.51</v>
      </c>
      <c r="I66" s="4"/>
    </row>
    <row r="67" spans="1:9" s="5" customFormat="1" ht="18" customHeight="1" outlineLevel="1">
      <c r="A67" s="3" t="s">
        <v>75</v>
      </c>
      <c r="B67" s="13" t="s">
        <v>76</v>
      </c>
      <c r="C67" s="4">
        <f t="shared" ref="C67:D67" si="5">SUM(C68:C69)</f>
        <v>514435.43</v>
      </c>
      <c r="D67" s="4">
        <f t="shared" si="5"/>
        <v>584899</v>
      </c>
      <c r="E67" s="4">
        <f t="shared" si="0"/>
        <v>70463.570000000007</v>
      </c>
      <c r="F67" s="4">
        <f t="shared" ref="F67:I67" si="6">SUM(F68:F69)</f>
        <v>467580</v>
      </c>
      <c r="G67" s="4">
        <f t="shared" si="6"/>
        <v>484363.25</v>
      </c>
      <c r="H67" s="33">
        <f t="shared" si="6"/>
        <v>3675751.4</v>
      </c>
      <c r="I67" s="4">
        <f t="shared" si="6"/>
        <v>501818</v>
      </c>
    </row>
    <row r="68" spans="1:9" ht="50.25" hidden="1" customHeight="1" outlineLevel="1">
      <c r="A68" s="21" t="s">
        <v>127</v>
      </c>
      <c r="B68" s="6" t="s">
        <v>128</v>
      </c>
      <c r="C68" s="7"/>
      <c r="D68" s="7"/>
      <c r="E68" s="7">
        <f t="shared" si="0"/>
        <v>0</v>
      </c>
      <c r="F68" s="7"/>
      <c r="G68" s="7"/>
      <c r="H68" s="34"/>
      <c r="I68" s="4"/>
    </row>
    <row r="69" spans="1:9" ht="35.25" customHeight="1" outlineLevel="1">
      <c r="A69" s="21" t="s">
        <v>77</v>
      </c>
      <c r="B69" s="6" t="s">
        <v>220</v>
      </c>
      <c r="C69" s="7">
        <v>514435.43</v>
      </c>
      <c r="D69" s="7">
        <v>584899</v>
      </c>
      <c r="E69" s="7">
        <f t="shared" si="0"/>
        <v>70463.570000000007</v>
      </c>
      <c r="F69" s="7">
        <v>467580</v>
      </c>
      <c r="G69" s="7">
        <v>484363.25</v>
      </c>
      <c r="H69" s="34">
        <f>71800+3603951.4</f>
        <v>3675751.4</v>
      </c>
      <c r="I69" s="7">
        <v>501818</v>
      </c>
    </row>
    <row r="70" spans="1:9" s="5" customFormat="1" ht="31.5">
      <c r="A70" s="3" t="s">
        <v>78</v>
      </c>
      <c r="B70" s="13" t="s">
        <v>79</v>
      </c>
      <c r="C70" s="4">
        <f>C71+C72</f>
        <v>8185885.6699999999</v>
      </c>
      <c r="D70" s="4">
        <f>D71+D72</f>
        <v>1950000</v>
      </c>
      <c r="E70" s="4">
        <f t="shared" si="0"/>
        <v>-6235885.6699999999</v>
      </c>
      <c r="F70" s="4">
        <f>F71+F72</f>
        <v>6450000</v>
      </c>
      <c r="G70" s="4">
        <f>G71+G72</f>
        <v>1200000</v>
      </c>
      <c r="H70" s="33" t="e">
        <f>H71+H72+#REF!</f>
        <v>#REF!</v>
      </c>
      <c r="I70" s="4">
        <f>I71+I72</f>
        <v>850000</v>
      </c>
    </row>
    <row r="71" spans="1:9" ht="126" outlineLevel="1">
      <c r="A71" s="21" t="s">
        <v>190</v>
      </c>
      <c r="B71" s="6" t="s">
        <v>225</v>
      </c>
      <c r="C71" s="7">
        <v>6809707.6699999999</v>
      </c>
      <c r="D71" s="7">
        <v>1600000</v>
      </c>
      <c r="E71" s="7">
        <f t="shared" si="0"/>
        <v>-5209707.67</v>
      </c>
      <c r="F71" s="7">
        <v>6200000</v>
      </c>
      <c r="G71" s="7">
        <v>1000000</v>
      </c>
      <c r="H71" s="34">
        <f>3500000+2500000</f>
        <v>6000000</v>
      </c>
      <c r="I71" s="7">
        <v>700000</v>
      </c>
    </row>
    <row r="72" spans="1:9" s="5" customFormat="1" ht="47.25" outlineLevel="1">
      <c r="A72" s="3" t="s">
        <v>80</v>
      </c>
      <c r="B72" s="13" t="s">
        <v>81</v>
      </c>
      <c r="C72" s="4">
        <f>SUM(C73:C75)</f>
        <v>1376178</v>
      </c>
      <c r="D72" s="4">
        <f>SUM(D73:D75)</f>
        <v>350000</v>
      </c>
      <c r="E72" s="4">
        <f t="shared" si="0"/>
        <v>-1026178</v>
      </c>
      <c r="F72" s="4">
        <f>SUM(F73:F75)</f>
        <v>250000</v>
      </c>
      <c r="G72" s="4">
        <f>SUM(G73:G75)</f>
        <v>200000</v>
      </c>
      <c r="H72" s="33">
        <f>SUM(H73:H75)</f>
        <v>1837050</v>
      </c>
      <c r="I72" s="4">
        <f>SUM(I73:I75)</f>
        <v>150000</v>
      </c>
    </row>
    <row r="73" spans="1:9" ht="64.5" customHeight="1" outlineLevel="1">
      <c r="A73" s="21" t="s">
        <v>191</v>
      </c>
      <c r="B73" s="6" t="s">
        <v>226</v>
      </c>
      <c r="C73" s="7">
        <v>1239777.8400000001</v>
      </c>
      <c r="D73" s="7">
        <v>300000</v>
      </c>
      <c r="E73" s="7">
        <f t="shared" si="0"/>
        <v>-939777.84000000008</v>
      </c>
      <c r="F73" s="7">
        <v>200000</v>
      </c>
      <c r="G73" s="7">
        <v>200000</v>
      </c>
      <c r="H73" s="34">
        <f>4177460-3377460</f>
        <v>800000</v>
      </c>
      <c r="I73" s="7">
        <v>150000</v>
      </c>
    </row>
    <row r="74" spans="1:9" ht="79.5" customHeight="1" outlineLevel="1">
      <c r="A74" s="21" t="s">
        <v>192</v>
      </c>
      <c r="B74" s="6" t="s">
        <v>82</v>
      </c>
      <c r="C74" s="7"/>
      <c r="D74" s="7"/>
      <c r="E74" s="7">
        <f t="shared" si="0"/>
        <v>0</v>
      </c>
      <c r="F74" s="7"/>
      <c r="G74" s="7"/>
      <c r="H74" s="34">
        <v>530000</v>
      </c>
      <c r="I74" s="7"/>
    </row>
    <row r="75" spans="1:9" ht="109.5" customHeight="1" outlineLevel="1">
      <c r="A75" s="21" t="s">
        <v>193</v>
      </c>
      <c r="B75" s="6" t="s">
        <v>83</v>
      </c>
      <c r="C75" s="7">
        <v>136400.16</v>
      </c>
      <c r="D75" s="7">
        <v>50000</v>
      </c>
      <c r="E75" s="7">
        <f t="shared" si="0"/>
        <v>-86400.16</v>
      </c>
      <c r="F75" s="7">
        <v>50000</v>
      </c>
      <c r="G75" s="7"/>
      <c r="H75" s="34">
        <v>507050</v>
      </c>
      <c r="I75" s="7"/>
    </row>
    <row r="76" spans="1:9" s="5" customFormat="1" ht="34.5" customHeight="1">
      <c r="A76" s="3" t="s">
        <v>84</v>
      </c>
      <c r="B76" s="13" t="s">
        <v>85</v>
      </c>
      <c r="C76" s="4">
        <f>C77+C89+C91+C94+C97</f>
        <v>2083937.76</v>
      </c>
      <c r="D76" s="4">
        <f>D77+D89+D91+D94</f>
        <v>2000000</v>
      </c>
      <c r="E76" s="4">
        <f t="shared" si="0"/>
        <v>-83937.760000000009</v>
      </c>
      <c r="F76" s="4">
        <f>F77+F89+F91+F94+F97</f>
        <v>1500000</v>
      </c>
      <c r="G76" s="4">
        <f>G77+G89+G91+G94+G97</f>
        <v>1550000</v>
      </c>
      <c r="H76" s="33">
        <f>H77+H89+H91+H94+H97</f>
        <v>4042421.4</v>
      </c>
      <c r="I76" s="4">
        <f>I77+I89+I91+I94+I97</f>
        <v>1600000</v>
      </c>
    </row>
    <row r="77" spans="1:9" s="5" customFormat="1" ht="47.25" outlineLevel="1">
      <c r="A77" s="3" t="s">
        <v>86</v>
      </c>
      <c r="B77" s="13" t="s">
        <v>87</v>
      </c>
      <c r="C77" s="4">
        <f>C78+C79+C80+C81+C82+C84+C85+C86+C87+C88</f>
        <v>35198.039999999994</v>
      </c>
      <c r="D77" s="4">
        <f>D79+D81+D82+D84+D85+D86+D87+D88+D78+D80</f>
        <v>163000</v>
      </c>
      <c r="E77" s="4">
        <f t="shared" si="0"/>
        <v>127801.96</v>
      </c>
      <c r="F77" s="4">
        <f>F78+F79+F80+F81+F82+F83+F84+F85+F86+F87+F88</f>
        <v>163000</v>
      </c>
      <c r="G77" s="4">
        <f>G78+G79+G80+G81+G82+G83+G84+G85+G86+G87+G88</f>
        <v>178000</v>
      </c>
      <c r="H77" s="33">
        <f>SUM(H79:H86)</f>
        <v>1114069.3999999999</v>
      </c>
      <c r="I77" s="4">
        <f>I78+I79+I80+I81+I82+I83+I84+I85+I86+I87+I88</f>
        <v>200000</v>
      </c>
    </row>
    <row r="78" spans="1:9" s="5" customFormat="1" ht="110.25" outlineLevel="1">
      <c r="A78" s="21" t="s">
        <v>245</v>
      </c>
      <c r="B78" s="6" t="s">
        <v>246</v>
      </c>
      <c r="C78" s="4">
        <v>1046.6400000000001</v>
      </c>
      <c r="D78" s="4">
        <v>2000</v>
      </c>
      <c r="E78" s="4"/>
      <c r="F78" s="4">
        <v>2000</v>
      </c>
      <c r="G78" s="4">
        <v>2000</v>
      </c>
      <c r="H78" s="33"/>
      <c r="I78" s="4">
        <v>3000</v>
      </c>
    </row>
    <row r="79" spans="1:9" ht="144.75" customHeight="1" outlineLevel="1">
      <c r="A79" s="21" t="s">
        <v>88</v>
      </c>
      <c r="B79" s="6" t="s">
        <v>89</v>
      </c>
      <c r="C79" s="7">
        <v>8260.0499999999993</v>
      </c>
      <c r="D79" s="7">
        <v>14000</v>
      </c>
      <c r="E79" s="7">
        <f t="shared" si="0"/>
        <v>5739.9500000000007</v>
      </c>
      <c r="F79" s="7">
        <v>14000</v>
      </c>
      <c r="G79" s="7">
        <v>14000</v>
      </c>
      <c r="H79" s="34">
        <f>24600+107373</f>
        <v>131973</v>
      </c>
      <c r="I79" s="4">
        <v>14000</v>
      </c>
    </row>
    <row r="80" spans="1:9" ht="144.75" customHeight="1" outlineLevel="1">
      <c r="A80" s="21" t="s">
        <v>256</v>
      </c>
      <c r="B80" s="6" t="s">
        <v>257</v>
      </c>
      <c r="C80" s="7">
        <v>8000</v>
      </c>
      <c r="D80" s="7">
        <v>30000</v>
      </c>
      <c r="E80" s="7">
        <f t="shared" si="0"/>
        <v>22000</v>
      </c>
      <c r="F80" s="7">
        <v>30000</v>
      </c>
      <c r="G80" s="7">
        <v>45000</v>
      </c>
      <c r="H80" s="34"/>
      <c r="I80" s="7">
        <v>50000</v>
      </c>
    </row>
    <row r="81" spans="1:9" ht="111.75" customHeight="1" outlineLevel="1">
      <c r="A81" s="21" t="s">
        <v>155</v>
      </c>
      <c r="B81" s="6" t="s">
        <v>154</v>
      </c>
      <c r="C81" s="7">
        <v>930.85</v>
      </c>
      <c r="D81" s="7"/>
      <c r="E81" s="7">
        <f t="shared" ref="E81" si="7">D81-C81</f>
        <v>-930.85</v>
      </c>
      <c r="F81" s="7"/>
      <c r="G81" s="7"/>
      <c r="H81" s="34">
        <v>2400</v>
      </c>
      <c r="I81" s="7"/>
    </row>
    <row r="82" spans="1:9" ht="130.5" customHeight="1" outlineLevel="1">
      <c r="A82" s="21" t="s">
        <v>90</v>
      </c>
      <c r="B82" s="6" t="s">
        <v>91</v>
      </c>
      <c r="C82" s="7"/>
      <c r="D82" s="7"/>
      <c r="E82" s="7">
        <f t="shared" si="0"/>
        <v>0</v>
      </c>
      <c r="F82" s="7"/>
      <c r="G82" s="7"/>
      <c r="H82" s="34">
        <f>56460+114120</f>
        <v>170580</v>
      </c>
      <c r="I82" s="7"/>
    </row>
    <row r="83" spans="1:9" ht="77.25" customHeight="1" outlineLevel="1">
      <c r="A83" s="21" t="s">
        <v>265</v>
      </c>
      <c r="B83" s="6" t="s">
        <v>266</v>
      </c>
      <c r="C83" s="7"/>
      <c r="D83" s="7"/>
      <c r="E83" s="7"/>
      <c r="F83" s="7">
        <v>5000</v>
      </c>
      <c r="G83" s="7">
        <v>5000</v>
      </c>
      <c r="H83" s="34"/>
      <c r="I83" s="7">
        <v>10000</v>
      </c>
    </row>
    <row r="84" spans="1:9" ht="163.5" customHeight="1" outlineLevel="1">
      <c r="A84" s="21" t="s">
        <v>92</v>
      </c>
      <c r="B84" s="6" t="s">
        <v>93</v>
      </c>
      <c r="C84" s="7"/>
      <c r="D84" s="7">
        <v>2000</v>
      </c>
      <c r="E84" s="7">
        <f t="shared" ref="E84:E143" si="8">D84-C84</f>
        <v>2000</v>
      </c>
      <c r="F84" s="7">
        <v>2000</v>
      </c>
      <c r="G84" s="7">
        <v>2000</v>
      </c>
      <c r="H84" s="34">
        <f>1080+10850</f>
        <v>11930</v>
      </c>
      <c r="I84" s="7">
        <v>5000</v>
      </c>
    </row>
    <row r="85" spans="1:9" ht="113.25" customHeight="1" outlineLevel="1">
      <c r="A85" s="21" t="s">
        <v>94</v>
      </c>
      <c r="B85" s="6" t="s">
        <v>95</v>
      </c>
      <c r="C85" s="7">
        <v>1000</v>
      </c>
      <c r="D85" s="7"/>
      <c r="E85" s="7">
        <f t="shared" si="8"/>
        <v>-1000</v>
      </c>
      <c r="F85" s="7">
        <v>50000</v>
      </c>
      <c r="G85" s="7">
        <v>50000</v>
      </c>
      <c r="H85" s="34">
        <f>228000+127106.4</f>
        <v>355106.4</v>
      </c>
      <c r="I85" s="7">
        <v>55000</v>
      </c>
    </row>
    <row r="86" spans="1:9" ht="126" customHeight="1" outlineLevel="1">
      <c r="A86" s="21" t="s">
        <v>96</v>
      </c>
      <c r="B86" s="6" t="s">
        <v>97</v>
      </c>
      <c r="C86" s="7"/>
      <c r="D86" s="7">
        <v>50000</v>
      </c>
      <c r="E86" s="7">
        <v>60000</v>
      </c>
      <c r="F86" s="7">
        <v>60000</v>
      </c>
      <c r="G86" s="7">
        <v>60000</v>
      </c>
      <c r="H86" s="34">
        <f>52080+390000</f>
        <v>442080</v>
      </c>
      <c r="I86" s="7">
        <v>63000</v>
      </c>
    </row>
    <row r="87" spans="1:9" ht="143.25" customHeight="1" outlineLevel="1">
      <c r="A87" s="21" t="s">
        <v>230</v>
      </c>
      <c r="B87" s="6" t="s">
        <v>231</v>
      </c>
      <c r="C87" s="7">
        <v>5000</v>
      </c>
      <c r="D87" s="7">
        <v>5000</v>
      </c>
      <c r="E87" s="7">
        <f t="shared" si="8"/>
        <v>0</v>
      </c>
      <c r="F87" s="7"/>
      <c r="G87" s="7"/>
      <c r="H87" s="34"/>
      <c r="I87" s="7"/>
    </row>
    <row r="88" spans="1:9" ht="126" customHeight="1" outlineLevel="1">
      <c r="A88" s="21" t="s">
        <v>96</v>
      </c>
      <c r="B88" s="6" t="s">
        <v>97</v>
      </c>
      <c r="C88" s="7">
        <v>10960.5</v>
      </c>
      <c r="D88" s="7">
        <v>60000</v>
      </c>
      <c r="E88" s="7">
        <f t="shared" si="8"/>
        <v>49039.5</v>
      </c>
      <c r="F88" s="7"/>
      <c r="G88" s="7"/>
      <c r="H88" s="34"/>
      <c r="I88" s="7"/>
    </row>
    <row r="89" spans="1:9" s="5" customFormat="1" ht="47.25" outlineLevel="1">
      <c r="A89" s="3" t="s">
        <v>98</v>
      </c>
      <c r="B89" s="13" t="s">
        <v>99</v>
      </c>
      <c r="C89" s="4">
        <f>C90</f>
        <v>100112.49</v>
      </c>
      <c r="D89" s="4">
        <f>D90</f>
        <v>145000</v>
      </c>
      <c r="E89" s="4">
        <f t="shared" si="8"/>
        <v>44887.509999999995</v>
      </c>
      <c r="F89" s="4">
        <f>F90</f>
        <v>145000</v>
      </c>
      <c r="G89" s="4">
        <f>G90</f>
        <v>150000</v>
      </c>
      <c r="H89" s="33">
        <f>H90</f>
        <v>222660</v>
      </c>
      <c r="I89" s="4">
        <f>I90</f>
        <v>155000</v>
      </c>
    </row>
    <row r="90" spans="1:9" ht="65.25" customHeight="1" outlineLevel="1">
      <c r="A90" s="21" t="s">
        <v>100</v>
      </c>
      <c r="B90" s="6" t="s">
        <v>101</v>
      </c>
      <c r="C90" s="7">
        <v>100112.49</v>
      </c>
      <c r="D90" s="7">
        <v>145000</v>
      </c>
      <c r="E90" s="7">
        <f t="shared" si="8"/>
        <v>44887.509999999995</v>
      </c>
      <c r="F90" s="7">
        <v>145000</v>
      </c>
      <c r="G90" s="7">
        <v>150000</v>
      </c>
      <c r="H90" s="34">
        <f>228800-6140</f>
        <v>222660</v>
      </c>
      <c r="I90" s="7">
        <v>155000</v>
      </c>
    </row>
    <row r="91" spans="1:9" s="5" customFormat="1" ht="143.25" customHeight="1" outlineLevel="1">
      <c r="A91" s="3" t="s">
        <v>139</v>
      </c>
      <c r="B91" s="13" t="s">
        <v>102</v>
      </c>
      <c r="C91" s="4">
        <f>SUM(C92:C93)</f>
        <v>245785.62</v>
      </c>
      <c r="D91" s="4">
        <f>SUM(D92:D93)</f>
        <v>76000</v>
      </c>
      <c r="E91" s="4">
        <f t="shared" si="8"/>
        <v>-169785.62</v>
      </c>
      <c r="F91" s="4">
        <f>SUM(F92:F93)</f>
        <v>152000</v>
      </c>
      <c r="G91" s="4">
        <f>SUM(G92:G93)</f>
        <v>152000</v>
      </c>
      <c r="H91" s="33">
        <f>SUM(H92:H93)</f>
        <v>646582</v>
      </c>
      <c r="I91" s="4">
        <f>SUM(I92:I93)</f>
        <v>160000</v>
      </c>
    </row>
    <row r="92" spans="1:9" ht="99" customHeight="1" outlineLevel="1">
      <c r="A92" s="21" t="s">
        <v>175</v>
      </c>
      <c r="B92" s="6" t="s">
        <v>103</v>
      </c>
      <c r="C92" s="7">
        <v>245785.62</v>
      </c>
      <c r="D92" s="7">
        <v>41000</v>
      </c>
      <c r="E92" s="7">
        <f t="shared" si="8"/>
        <v>-204785.62</v>
      </c>
      <c r="F92" s="7">
        <v>80000</v>
      </c>
      <c r="G92" s="7">
        <v>80000</v>
      </c>
      <c r="H92" s="34">
        <f>8682+115000</f>
        <v>123682</v>
      </c>
      <c r="I92" s="4">
        <v>85000</v>
      </c>
    </row>
    <row r="93" spans="1:9" ht="99" customHeight="1" outlineLevel="1">
      <c r="A93" s="21" t="s">
        <v>176</v>
      </c>
      <c r="B93" s="6" t="s">
        <v>104</v>
      </c>
      <c r="C93" s="7"/>
      <c r="D93" s="7">
        <v>35000</v>
      </c>
      <c r="E93" s="7">
        <f t="shared" si="8"/>
        <v>35000</v>
      </c>
      <c r="F93" s="7">
        <v>72000</v>
      </c>
      <c r="G93" s="7">
        <v>72000</v>
      </c>
      <c r="H93" s="34">
        <v>522900</v>
      </c>
      <c r="I93" s="7">
        <v>75000</v>
      </c>
    </row>
    <row r="94" spans="1:9" s="5" customFormat="1" ht="34.5" customHeight="1" outlineLevel="1">
      <c r="A94" s="3" t="s">
        <v>105</v>
      </c>
      <c r="B94" s="13" t="s">
        <v>106</v>
      </c>
      <c r="C94" s="4">
        <f>SUM(C95:C96)</f>
        <v>58153.68</v>
      </c>
      <c r="D94" s="4">
        <f>D95+D96+D97</f>
        <v>1616000</v>
      </c>
      <c r="E94" s="4">
        <f t="shared" si="8"/>
        <v>1557846.32</v>
      </c>
      <c r="F94" s="4">
        <f>SUM(F95:F96)</f>
        <v>40000</v>
      </c>
      <c r="G94" s="4">
        <f>SUM(G95:G96)</f>
        <v>40000</v>
      </c>
      <c r="H94" s="33">
        <f>SUM(H95:H96)</f>
        <v>1392950</v>
      </c>
      <c r="I94" s="4">
        <f>SUM(I95:I96)</f>
        <v>50000</v>
      </c>
    </row>
    <row r="95" spans="1:9" ht="99" customHeight="1" outlineLevel="1">
      <c r="A95" s="21" t="s">
        <v>107</v>
      </c>
      <c r="B95" s="6" t="s">
        <v>108</v>
      </c>
      <c r="C95" s="7">
        <v>58153.68</v>
      </c>
      <c r="D95" s="7">
        <v>40000</v>
      </c>
      <c r="E95" s="7">
        <f t="shared" si="8"/>
        <v>-18153.68</v>
      </c>
      <c r="F95" s="7">
        <v>40000</v>
      </c>
      <c r="G95" s="7">
        <v>40000</v>
      </c>
      <c r="H95" s="34">
        <f>781400+590000</f>
        <v>1371400</v>
      </c>
      <c r="I95" s="4">
        <v>50000</v>
      </c>
    </row>
    <row r="96" spans="1:9" ht="99" customHeight="1" outlineLevel="1">
      <c r="A96" s="21" t="s">
        <v>109</v>
      </c>
      <c r="B96" s="6" t="s">
        <v>147</v>
      </c>
      <c r="C96" s="7"/>
      <c r="D96" s="7"/>
      <c r="E96" s="7">
        <f t="shared" si="8"/>
        <v>0</v>
      </c>
      <c r="F96" s="7"/>
      <c r="G96" s="7"/>
      <c r="H96" s="34">
        <f>103000-81450</f>
        <v>21550</v>
      </c>
      <c r="I96" s="7"/>
    </row>
    <row r="97" spans="1:9" ht="31.5" outlineLevel="1">
      <c r="A97" s="3" t="s">
        <v>152</v>
      </c>
      <c r="B97" s="13" t="s">
        <v>153</v>
      </c>
      <c r="C97" s="4">
        <f>C98</f>
        <v>1644687.93</v>
      </c>
      <c r="D97" s="4">
        <f t="shared" ref="D97" si="9">D98</f>
        <v>1576000</v>
      </c>
      <c r="E97" s="7">
        <f t="shared" si="8"/>
        <v>-68687.929999999935</v>
      </c>
      <c r="F97" s="4">
        <f t="shared" ref="F97:I97" si="10">F98</f>
        <v>1000000</v>
      </c>
      <c r="G97" s="4">
        <f t="shared" si="10"/>
        <v>1030000</v>
      </c>
      <c r="H97" s="33">
        <f>H98</f>
        <v>666160</v>
      </c>
      <c r="I97" s="4">
        <f t="shared" si="10"/>
        <v>1035000</v>
      </c>
    </row>
    <row r="98" spans="1:9" ht="157.5" outlineLevel="1">
      <c r="A98" s="21" t="s">
        <v>150</v>
      </c>
      <c r="B98" s="6" t="s">
        <v>151</v>
      </c>
      <c r="C98" s="7">
        <v>1644687.93</v>
      </c>
      <c r="D98" s="7">
        <v>1576000</v>
      </c>
      <c r="E98" s="7">
        <f t="shared" si="8"/>
        <v>-68687.929999999935</v>
      </c>
      <c r="F98" s="7">
        <v>1000000</v>
      </c>
      <c r="G98" s="7">
        <v>1030000</v>
      </c>
      <c r="H98" s="34">
        <v>666160</v>
      </c>
      <c r="I98" s="7">
        <v>1035000</v>
      </c>
    </row>
    <row r="99" spans="1:9" s="5" customFormat="1" ht="16.5" customHeight="1">
      <c r="A99" s="3" t="s">
        <v>110</v>
      </c>
      <c r="B99" s="13" t="s">
        <v>111</v>
      </c>
      <c r="C99" s="4">
        <f>C100+C101</f>
        <v>1261628.21</v>
      </c>
      <c r="D99" s="4">
        <f>D100+D101</f>
        <v>2150000</v>
      </c>
      <c r="E99" s="4">
        <f t="shared" si="8"/>
        <v>888371.79</v>
      </c>
      <c r="F99" s="4">
        <v>100000</v>
      </c>
      <c r="G99" s="4">
        <f>SUM(G101:G101)</f>
        <v>100000</v>
      </c>
      <c r="H99" s="33">
        <f>SUM(H101:H101)</f>
        <v>6256210</v>
      </c>
      <c r="I99" s="4">
        <f>SUM(I101:I101)</f>
        <v>200000</v>
      </c>
    </row>
    <row r="100" spans="1:9" s="5" customFormat="1" ht="16.5" customHeight="1">
      <c r="A100" s="21" t="s">
        <v>249</v>
      </c>
      <c r="B100" s="6" t="s">
        <v>251</v>
      </c>
      <c r="C100" s="4">
        <v>-15209.1</v>
      </c>
      <c r="D100" s="4"/>
      <c r="E100" s="4"/>
      <c r="F100" s="4"/>
      <c r="G100" s="4"/>
      <c r="H100" s="33"/>
      <c r="I100" s="4"/>
    </row>
    <row r="101" spans="1:9" ht="32.25" customHeight="1" outlineLevel="1">
      <c r="A101" s="21" t="s">
        <v>250</v>
      </c>
      <c r="B101" s="6" t="s">
        <v>112</v>
      </c>
      <c r="C101" s="7">
        <v>1276837.31</v>
      </c>
      <c r="D101" s="7">
        <v>2150000</v>
      </c>
      <c r="E101" s="7">
        <f t="shared" si="8"/>
        <v>873162.69</v>
      </c>
      <c r="F101" s="7">
        <v>100000</v>
      </c>
      <c r="G101" s="7">
        <v>100000</v>
      </c>
      <c r="H101" s="34">
        <f>SUM(H102:H104)</f>
        <v>6256210</v>
      </c>
      <c r="I101" s="7">
        <v>200000</v>
      </c>
    </row>
    <row r="102" spans="1:9" ht="47.25" hidden="1" outlineLevel="1">
      <c r="A102" s="21" t="s">
        <v>156</v>
      </c>
      <c r="B102" s="6" t="s">
        <v>159</v>
      </c>
      <c r="C102" s="7"/>
      <c r="D102" s="7"/>
      <c r="E102" s="7"/>
      <c r="F102" s="7"/>
      <c r="G102" s="7"/>
      <c r="H102" s="34">
        <f>1500000+220100</f>
        <v>1720100</v>
      </c>
      <c r="I102" s="7"/>
    </row>
    <row r="103" spans="1:9" ht="78.75" hidden="1" outlineLevel="1">
      <c r="A103" s="21" t="s">
        <v>157</v>
      </c>
      <c r="B103" s="6" t="s">
        <v>160</v>
      </c>
      <c r="C103" s="7"/>
      <c r="D103" s="7"/>
      <c r="E103" s="7"/>
      <c r="F103" s="7"/>
      <c r="G103" s="7"/>
      <c r="H103" s="34">
        <f>260110+1576000</f>
        <v>1836110</v>
      </c>
      <c r="I103" s="7"/>
    </row>
    <row r="104" spans="1:9" ht="63" hidden="1" outlineLevel="1">
      <c r="A104" s="21" t="s">
        <v>158</v>
      </c>
      <c r="B104" s="6" t="s">
        <v>161</v>
      </c>
      <c r="C104" s="7"/>
      <c r="D104" s="7"/>
      <c r="E104" s="7"/>
      <c r="F104" s="7"/>
      <c r="G104" s="7"/>
      <c r="H104" s="34">
        <v>2700000</v>
      </c>
      <c r="I104" s="7"/>
    </row>
    <row r="105" spans="1:9" ht="14.25" customHeight="1" collapsed="1">
      <c r="A105" s="3" t="s">
        <v>113</v>
      </c>
      <c r="B105" s="13" t="s">
        <v>114</v>
      </c>
      <c r="C105" s="4">
        <f>C106+C137+C141</f>
        <v>376476169.50999999</v>
      </c>
      <c r="D105" s="4">
        <f>D106+D137+D141</f>
        <v>520313024.56999993</v>
      </c>
      <c r="E105" s="4">
        <f t="shared" si="8"/>
        <v>143836855.05999994</v>
      </c>
      <c r="F105" s="4">
        <f>F106+F137+F141</f>
        <v>326353508</v>
      </c>
      <c r="G105" s="4">
        <f>G106+G137+G141</f>
        <v>303971022.51999998</v>
      </c>
      <c r="H105" s="33">
        <f>H106+H137+H141</f>
        <v>789607887.96000004</v>
      </c>
      <c r="I105" s="4">
        <f>I106+I137+I141</f>
        <v>325642679.09000003</v>
      </c>
    </row>
    <row r="106" spans="1:9" ht="47.25">
      <c r="A106" s="3" t="s">
        <v>115</v>
      </c>
      <c r="B106" s="13" t="s">
        <v>116</v>
      </c>
      <c r="C106" s="4">
        <f>C107+C111+C123+C135</f>
        <v>376476169.50999999</v>
      </c>
      <c r="D106" s="4">
        <f>D107+D111+D123+D135</f>
        <v>520313024.56999993</v>
      </c>
      <c r="E106" s="4">
        <f t="shared" si="8"/>
        <v>143836855.05999994</v>
      </c>
      <c r="F106" s="4">
        <f>F107+F111+F123+F135</f>
        <v>326353508</v>
      </c>
      <c r="G106" s="4">
        <f>G107+G111+G123+G135</f>
        <v>303971022.51999998</v>
      </c>
      <c r="H106" s="33">
        <f>H107+H111+H123+H135</f>
        <v>789607887.96000004</v>
      </c>
      <c r="I106" s="4">
        <f>I107+I111+I123+I135</f>
        <v>325642679.09000003</v>
      </c>
    </row>
    <row r="107" spans="1:9" ht="31.5">
      <c r="A107" s="3" t="s">
        <v>117</v>
      </c>
      <c r="B107" s="13" t="s">
        <v>118</v>
      </c>
      <c r="C107" s="4">
        <f>C109+C110</f>
        <v>88763469.400000006</v>
      </c>
      <c r="D107" s="4">
        <f>D109+D110+D108</f>
        <v>219399917.66</v>
      </c>
      <c r="E107" s="4">
        <f t="shared" si="8"/>
        <v>130636448.25999999</v>
      </c>
      <c r="F107" s="4">
        <f>F109+F110+F108</f>
        <v>0</v>
      </c>
      <c r="G107" s="4">
        <f>G109+G110+G108</f>
        <v>0</v>
      </c>
      <c r="H107" s="33">
        <f>SUM(H109:H109)</f>
        <v>33294100</v>
      </c>
      <c r="I107" s="4"/>
    </row>
    <row r="108" spans="1:9" ht="47.25">
      <c r="A108" s="21" t="s">
        <v>232</v>
      </c>
      <c r="B108" s="6" t="s">
        <v>233</v>
      </c>
      <c r="C108" s="4"/>
      <c r="D108" s="7">
        <v>190737208</v>
      </c>
      <c r="E108" s="4"/>
      <c r="F108" s="7"/>
      <c r="G108" s="7"/>
      <c r="H108" s="33"/>
      <c r="I108" s="4"/>
    </row>
    <row r="109" spans="1:9" ht="50.25" customHeight="1" outlineLevel="1">
      <c r="A109" s="21" t="s">
        <v>177</v>
      </c>
      <c r="B109" s="6" t="s">
        <v>178</v>
      </c>
      <c r="C109" s="7">
        <v>64181469.399999999</v>
      </c>
      <c r="D109" s="7">
        <v>28662709.66</v>
      </c>
      <c r="E109" s="7">
        <f t="shared" si="8"/>
        <v>-35518759.739999995</v>
      </c>
      <c r="F109" s="7"/>
      <c r="G109" s="7"/>
      <c r="H109" s="34">
        <v>33294100</v>
      </c>
      <c r="I109" s="7"/>
    </row>
    <row r="110" spans="1:9" ht="30" customHeight="1" outlineLevel="1">
      <c r="A110" s="21" t="s">
        <v>180</v>
      </c>
      <c r="B110" s="6" t="s">
        <v>179</v>
      </c>
      <c r="C110" s="7">
        <v>24582000</v>
      </c>
      <c r="D110" s="7"/>
      <c r="E110" s="7"/>
      <c r="F110" s="7"/>
      <c r="G110" s="7"/>
      <c r="H110" s="34"/>
      <c r="I110" s="7"/>
    </row>
    <row r="111" spans="1:9" ht="47.25">
      <c r="A111" s="3" t="s">
        <v>119</v>
      </c>
      <c r="B111" s="13" t="s">
        <v>120</v>
      </c>
      <c r="C111" s="4">
        <f>C113+C114+C115+C116+C118+C122</f>
        <v>68097101.969999999</v>
      </c>
      <c r="D111" s="4">
        <f>D112+D118+D121+D122</f>
        <v>58009931.409999996</v>
      </c>
      <c r="E111" s="4">
        <f t="shared" si="8"/>
        <v>-10087170.560000002</v>
      </c>
      <c r="F111" s="4">
        <f t="shared" ref="F111:I111" si="11">SUM(F113:F122)</f>
        <v>53130241.359999999</v>
      </c>
      <c r="G111" s="4">
        <f t="shared" si="11"/>
        <v>9531952.379999999</v>
      </c>
      <c r="H111" s="33">
        <f t="shared" si="11"/>
        <v>135663311.18000001</v>
      </c>
      <c r="I111" s="4">
        <f t="shared" si="11"/>
        <v>9495937.8699999992</v>
      </c>
    </row>
    <row r="112" spans="1:9" ht="47.25">
      <c r="A112" s="21" t="s">
        <v>260</v>
      </c>
      <c r="B112" s="6" t="s">
        <v>261</v>
      </c>
      <c r="C112" s="4"/>
      <c r="D112" s="7">
        <v>14637947.93</v>
      </c>
      <c r="E112" s="4"/>
      <c r="F112" s="4"/>
      <c r="G112" s="4"/>
      <c r="H112" s="33"/>
      <c r="I112" s="4"/>
    </row>
    <row r="113" spans="1:9" ht="157.5">
      <c r="A113" s="21" t="s">
        <v>181</v>
      </c>
      <c r="B113" s="6" t="s">
        <v>219</v>
      </c>
      <c r="C113" s="7">
        <v>11439762.300000001</v>
      </c>
      <c r="D113" s="7"/>
      <c r="E113" s="7">
        <f t="shared" si="8"/>
        <v>-11439762.300000001</v>
      </c>
      <c r="F113" s="7"/>
      <c r="G113" s="7"/>
      <c r="H113" s="34">
        <v>26874803.34</v>
      </c>
      <c r="I113" s="4"/>
    </row>
    <row r="114" spans="1:9" ht="114.75" customHeight="1" outlineLevel="1">
      <c r="A114" s="21" t="s">
        <v>182</v>
      </c>
      <c r="B114" s="6" t="s">
        <v>218</v>
      </c>
      <c r="C114" s="7">
        <v>1340854.7</v>
      </c>
      <c r="D114" s="7"/>
      <c r="E114" s="7">
        <f t="shared" si="8"/>
        <v>-1340854.7</v>
      </c>
      <c r="F114" s="7"/>
      <c r="G114" s="7"/>
      <c r="H114" s="34">
        <v>4697746.99</v>
      </c>
      <c r="I114" s="7"/>
    </row>
    <row r="115" spans="1:9" ht="81.75" customHeight="1" outlineLevel="1">
      <c r="A115" s="21" t="s">
        <v>241</v>
      </c>
      <c r="B115" s="6" t="s">
        <v>242</v>
      </c>
      <c r="C115" s="7">
        <v>2661775.39</v>
      </c>
      <c r="D115" s="7"/>
      <c r="E115" s="7">
        <f t="shared" si="8"/>
        <v>-2661775.39</v>
      </c>
      <c r="F115" s="7"/>
      <c r="G115" s="7"/>
      <c r="H115" s="34"/>
      <c r="I115" s="7"/>
    </row>
    <row r="116" spans="1:9" ht="48.75" customHeight="1" outlineLevel="1">
      <c r="A116" s="21" t="s">
        <v>243</v>
      </c>
      <c r="B116" s="6" t="s">
        <v>244</v>
      </c>
      <c r="C116" s="7">
        <v>2335000</v>
      </c>
      <c r="D116" s="7"/>
      <c r="E116" s="7">
        <f t="shared" si="8"/>
        <v>-2335000</v>
      </c>
      <c r="F116" s="7"/>
      <c r="G116" s="7"/>
      <c r="H116" s="34"/>
      <c r="I116" s="7"/>
    </row>
    <row r="117" spans="1:9" ht="74.25" customHeight="1" outlineLevel="1">
      <c r="A117" s="21" t="s">
        <v>189</v>
      </c>
      <c r="B117" s="6" t="s">
        <v>227</v>
      </c>
      <c r="C117" s="7"/>
      <c r="D117" s="7"/>
      <c r="E117" s="7"/>
      <c r="F117" s="7"/>
      <c r="G117" s="7"/>
      <c r="H117" s="34"/>
      <c r="I117" s="7"/>
    </row>
    <row r="118" spans="1:9" ht="48.75" customHeight="1" outlineLevel="1">
      <c r="A118" s="21" t="s">
        <v>183</v>
      </c>
      <c r="B118" s="6" t="s">
        <v>217</v>
      </c>
      <c r="C118" s="7">
        <v>2701111.11</v>
      </c>
      <c r="D118" s="7">
        <v>2412468.83</v>
      </c>
      <c r="E118" s="7">
        <f t="shared" si="8"/>
        <v>-288642.2799999998</v>
      </c>
      <c r="F118" s="7">
        <v>2394097.98</v>
      </c>
      <c r="G118" s="7">
        <v>1476624.83</v>
      </c>
      <c r="H118" s="34">
        <v>3949529</v>
      </c>
      <c r="I118" s="7">
        <v>1440610.32</v>
      </c>
    </row>
    <row r="119" spans="1:9" ht="34.5" hidden="1" customHeight="1" outlineLevel="1">
      <c r="A119" s="21" t="s">
        <v>129</v>
      </c>
      <c r="B119" s="6" t="s">
        <v>130</v>
      </c>
      <c r="C119" s="7"/>
      <c r="D119" s="7"/>
      <c r="E119" s="7">
        <f t="shared" si="8"/>
        <v>0</v>
      </c>
      <c r="F119" s="7"/>
      <c r="G119" s="7"/>
      <c r="H119" s="34"/>
      <c r="I119" s="7"/>
    </row>
    <row r="120" spans="1:9" ht="47.25" customHeight="1" outlineLevel="1">
      <c r="A120" s="21" t="s">
        <v>184</v>
      </c>
      <c r="B120" s="6" t="s">
        <v>185</v>
      </c>
      <c r="C120" s="7"/>
      <c r="D120" s="7"/>
      <c r="E120" s="7">
        <f t="shared" si="8"/>
        <v>0</v>
      </c>
      <c r="F120" s="7"/>
      <c r="G120" s="7"/>
      <c r="H120" s="34"/>
      <c r="I120" s="7"/>
    </row>
    <row r="121" spans="1:9" ht="47.25" customHeight="1" outlineLevel="1">
      <c r="A121" s="21" t="s">
        <v>258</v>
      </c>
      <c r="B121" s="6" t="s">
        <v>259</v>
      </c>
      <c r="C121" s="7"/>
      <c r="D121" s="7">
        <v>100000</v>
      </c>
      <c r="E121" s="7"/>
      <c r="F121" s="7"/>
      <c r="G121" s="7"/>
      <c r="H121" s="34"/>
      <c r="I121" s="7"/>
    </row>
    <row r="122" spans="1:9" ht="18" customHeight="1" outlineLevel="1">
      <c r="A122" s="21" t="s">
        <v>205</v>
      </c>
      <c r="B122" s="6" t="s">
        <v>216</v>
      </c>
      <c r="C122" s="7">
        <v>47618598.469999999</v>
      </c>
      <c r="D122" s="7">
        <v>40859514.649999999</v>
      </c>
      <c r="E122" s="7">
        <f t="shared" si="8"/>
        <v>-6759083.8200000003</v>
      </c>
      <c r="F122" s="7">
        <v>50736143.380000003</v>
      </c>
      <c r="G122" s="7">
        <v>8055327.5499999998</v>
      </c>
      <c r="H122" s="34">
        <v>100141231.84999999</v>
      </c>
      <c r="I122" s="7">
        <v>8055327.5499999998</v>
      </c>
    </row>
    <row r="123" spans="1:9" ht="33" customHeight="1">
      <c r="A123" s="3" t="s">
        <v>121</v>
      </c>
      <c r="B123" s="13" t="s">
        <v>122</v>
      </c>
      <c r="C123" s="4">
        <f>SUM(C124:C134)</f>
        <v>209768843.13999999</v>
      </c>
      <c r="D123" s="4">
        <f>SUM(D124:D134)</f>
        <v>223973197.09999999</v>
      </c>
      <c r="E123" s="4">
        <f t="shared" si="8"/>
        <v>14204353.960000008</v>
      </c>
      <c r="F123" s="4">
        <f>SUM(F124:F134)</f>
        <v>256960288.24000001</v>
      </c>
      <c r="G123" s="4">
        <f>SUM(G124:G134)</f>
        <v>277159927.65999997</v>
      </c>
      <c r="H123" s="33">
        <f>SUM(H124:H134)</f>
        <v>589341276.77999997</v>
      </c>
      <c r="I123" s="4">
        <f>SUM(I124:I134)</f>
        <v>298867598.74000001</v>
      </c>
    </row>
    <row r="124" spans="1:9" ht="47.25" customHeight="1" outlineLevel="1">
      <c r="A124" s="21" t="s">
        <v>201</v>
      </c>
      <c r="B124" s="6" t="s">
        <v>215</v>
      </c>
      <c r="C124" s="7">
        <v>197373606.13999999</v>
      </c>
      <c r="D124" s="7">
        <v>206214064.09999999</v>
      </c>
      <c r="E124" s="7">
        <f t="shared" si="8"/>
        <v>8840457.9600000083</v>
      </c>
      <c r="F124" s="7">
        <v>241085568.24000001</v>
      </c>
      <c r="G124" s="7">
        <v>260794389.66</v>
      </c>
      <c r="H124" s="34">
        <v>549574509.04999995</v>
      </c>
      <c r="I124" s="7">
        <v>282372722.74000001</v>
      </c>
    </row>
    <row r="125" spans="1:9" ht="96.75" customHeight="1" outlineLevel="1">
      <c r="A125" s="21" t="s">
        <v>202</v>
      </c>
      <c r="B125" s="6" t="s">
        <v>214</v>
      </c>
      <c r="C125" s="7">
        <v>1583958</v>
      </c>
      <c r="D125" s="7">
        <v>2419598</v>
      </c>
      <c r="E125" s="7">
        <f t="shared" si="8"/>
        <v>835640</v>
      </c>
      <c r="F125" s="7">
        <v>2497371</v>
      </c>
      <c r="G125" s="7">
        <v>2597387</v>
      </c>
      <c r="H125" s="34">
        <v>10807018</v>
      </c>
      <c r="I125" s="7">
        <v>2701949</v>
      </c>
    </row>
    <row r="126" spans="1:9" ht="79.5" customHeight="1" outlineLevel="1">
      <c r="A126" s="21" t="s">
        <v>203</v>
      </c>
      <c r="B126" s="6" t="s">
        <v>213</v>
      </c>
      <c r="C126" s="7"/>
      <c r="D126" s="7"/>
      <c r="E126" s="7">
        <f t="shared" si="8"/>
        <v>0</v>
      </c>
      <c r="F126" s="7"/>
      <c r="G126" s="7"/>
      <c r="H126" s="34"/>
      <c r="I126" s="7"/>
    </row>
    <row r="127" spans="1:9" ht="72" customHeight="1" outlineLevel="1">
      <c r="A127" s="21" t="s">
        <v>186</v>
      </c>
      <c r="B127" s="6" t="s">
        <v>187</v>
      </c>
      <c r="C127" s="7">
        <v>1293510</v>
      </c>
      <c r="D127" s="7">
        <v>1195888</v>
      </c>
      <c r="E127" s="7">
        <f t="shared" si="8"/>
        <v>-97622</v>
      </c>
      <c r="F127" s="7">
        <v>1318708</v>
      </c>
      <c r="G127" s="7">
        <v>1443568</v>
      </c>
      <c r="H127" s="34"/>
      <c r="I127" s="7">
        <v>1443568</v>
      </c>
    </row>
    <row r="128" spans="1:9" ht="79.5" customHeight="1" outlineLevel="1">
      <c r="A128" s="21" t="s">
        <v>194</v>
      </c>
      <c r="B128" s="6" t="s">
        <v>212</v>
      </c>
      <c r="C128" s="7">
        <v>2606</v>
      </c>
      <c r="D128" s="7">
        <v>10466</v>
      </c>
      <c r="E128" s="7">
        <f t="shared" si="8"/>
        <v>7860</v>
      </c>
      <c r="F128" s="7">
        <v>10855</v>
      </c>
      <c r="G128" s="7">
        <v>134288</v>
      </c>
      <c r="H128" s="34">
        <v>64204.32</v>
      </c>
      <c r="I128" s="7">
        <v>10855</v>
      </c>
    </row>
    <row r="129" spans="1:9" ht="66" customHeight="1" outlineLevel="1">
      <c r="A129" s="21" t="s">
        <v>196</v>
      </c>
      <c r="B129" s="6" t="s">
        <v>211</v>
      </c>
      <c r="C129" s="7"/>
      <c r="D129" s="7"/>
      <c r="E129" s="7">
        <f t="shared" si="8"/>
        <v>0</v>
      </c>
      <c r="F129" s="7"/>
      <c r="G129" s="7"/>
      <c r="H129" s="34">
        <v>608793.41</v>
      </c>
      <c r="I129" s="7"/>
    </row>
    <row r="130" spans="1:9" ht="80.25" customHeight="1" outlineLevel="1">
      <c r="A130" s="21" t="s">
        <v>195</v>
      </c>
      <c r="B130" s="6" t="s">
        <v>210</v>
      </c>
      <c r="C130" s="7">
        <v>5377721</v>
      </c>
      <c r="D130" s="7">
        <v>9117950</v>
      </c>
      <c r="E130" s="7">
        <f t="shared" ref="E130:E134" si="12">D130-C130</f>
        <v>3740229</v>
      </c>
      <c r="F130" s="7">
        <v>6928350</v>
      </c>
      <c r="G130" s="7">
        <v>6928350</v>
      </c>
      <c r="H130" s="34">
        <v>22181600</v>
      </c>
      <c r="I130" s="7">
        <v>6928350</v>
      </c>
    </row>
    <row r="131" spans="1:9" ht="47.25" outlineLevel="1">
      <c r="A131" s="21" t="s">
        <v>197</v>
      </c>
      <c r="B131" s="6" t="s">
        <v>209</v>
      </c>
      <c r="C131" s="7"/>
      <c r="D131" s="7"/>
      <c r="E131" s="7">
        <f t="shared" si="12"/>
        <v>0</v>
      </c>
      <c r="F131" s="7"/>
      <c r="G131" s="7"/>
      <c r="H131" s="34">
        <v>665496</v>
      </c>
      <c r="I131" s="7"/>
    </row>
    <row r="132" spans="1:9" ht="48" customHeight="1" outlineLevel="1">
      <c r="A132" s="21" t="s">
        <v>204</v>
      </c>
      <c r="B132" s="6" t="s">
        <v>208</v>
      </c>
      <c r="C132" s="7">
        <v>1490622</v>
      </c>
      <c r="D132" s="7">
        <v>1447646</v>
      </c>
      <c r="E132" s="7">
        <f t="shared" si="12"/>
        <v>-42976</v>
      </c>
      <c r="F132" s="7">
        <v>1512732</v>
      </c>
      <c r="G132" s="7">
        <v>1512732</v>
      </c>
      <c r="H132" s="34">
        <v>2349253</v>
      </c>
      <c r="I132" s="7">
        <v>1512732</v>
      </c>
    </row>
    <row r="133" spans="1:9" ht="38.25" customHeight="1" outlineLevel="1">
      <c r="A133" s="21" t="s">
        <v>199</v>
      </c>
      <c r="B133" s="6" t="s">
        <v>207</v>
      </c>
      <c r="C133" s="7">
        <v>2283911</v>
      </c>
      <c r="D133" s="7">
        <v>2846280</v>
      </c>
      <c r="E133" s="7">
        <f t="shared" si="12"/>
        <v>562369</v>
      </c>
      <c r="F133" s="7">
        <v>2878626</v>
      </c>
      <c r="G133" s="7">
        <v>2993771</v>
      </c>
      <c r="H133" s="34">
        <v>2397456</v>
      </c>
      <c r="I133" s="7">
        <v>3113522</v>
      </c>
    </row>
    <row r="134" spans="1:9" ht="32.25" customHeight="1" outlineLevel="1">
      <c r="A134" s="21" t="s">
        <v>200</v>
      </c>
      <c r="B134" s="6" t="s">
        <v>206</v>
      </c>
      <c r="C134" s="7">
        <v>362909</v>
      </c>
      <c r="D134" s="7">
        <v>721305</v>
      </c>
      <c r="E134" s="7">
        <f t="shared" si="12"/>
        <v>358396</v>
      </c>
      <c r="F134" s="7">
        <v>728078</v>
      </c>
      <c r="G134" s="7">
        <v>755442</v>
      </c>
      <c r="H134" s="34">
        <v>692947</v>
      </c>
      <c r="I134" s="7">
        <v>783900</v>
      </c>
    </row>
    <row r="135" spans="1:9" s="5" customFormat="1" ht="15.75">
      <c r="A135" s="3" t="s">
        <v>123</v>
      </c>
      <c r="B135" s="13" t="s">
        <v>124</v>
      </c>
      <c r="C135" s="4">
        <f>C136+C139+C140</f>
        <v>9846755</v>
      </c>
      <c r="D135" s="4">
        <f>D136+D139+D140</f>
        <v>18929978.399999999</v>
      </c>
      <c r="E135" s="4">
        <f t="shared" si="8"/>
        <v>9083223.3999999985</v>
      </c>
      <c r="F135" s="4">
        <f>F136+F139+F140</f>
        <v>16262978.4</v>
      </c>
      <c r="G135" s="4">
        <f>G136+G139</f>
        <v>17279142.48</v>
      </c>
      <c r="H135" s="33">
        <f>SUM(H136:H136)</f>
        <v>31309200</v>
      </c>
      <c r="I135" s="4">
        <f>I136+I139</f>
        <v>17279142.48</v>
      </c>
    </row>
    <row r="136" spans="1:9" ht="78" customHeight="1" outlineLevel="1">
      <c r="A136" s="21" t="s">
        <v>198</v>
      </c>
      <c r="B136" s="6" t="s">
        <v>235</v>
      </c>
      <c r="C136" s="7">
        <v>9608760</v>
      </c>
      <c r="D136" s="7">
        <v>14859000</v>
      </c>
      <c r="E136" s="7">
        <f t="shared" ref="E136" si="13">D136-C136</f>
        <v>5250240</v>
      </c>
      <c r="F136" s="7">
        <v>14742000</v>
      </c>
      <c r="G136" s="7">
        <v>14742000</v>
      </c>
      <c r="H136" s="34">
        <v>31309200</v>
      </c>
      <c r="I136" s="7">
        <v>14742000</v>
      </c>
    </row>
    <row r="137" spans="1:9" s="5" customFormat="1" ht="36.75" hidden="1" customHeight="1">
      <c r="A137" s="3" t="s">
        <v>131</v>
      </c>
      <c r="B137" s="13" t="s">
        <v>132</v>
      </c>
      <c r="C137" s="4">
        <f>C138</f>
        <v>0</v>
      </c>
      <c r="D137" s="4">
        <f>D138</f>
        <v>0</v>
      </c>
      <c r="E137" s="4">
        <f t="shared" si="8"/>
        <v>0</v>
      </c>
      <c r="F137" s="4">
        <f>F138</f>
        <v>0</v>
      </c>
      <c r="G137" s="4">
        <f>G138</f>
        <v>0</v>
      </c>
      <c r="H137" s="33">
        <f>H138</f>
        <v>0</v>
      </c>
      <c r="I137" s="7"/>
    </row>
    <row r="138" spans="1:9" ht="59.25" hidden="1" customHeight="1" outlineLevel="1">
      <c r="A138" s="21" t="s">
        <v>133</v>
      </c>
      <c r="B138" s="6" t="s">
        <v>134</v>
      </c>
      <c r="C138" s="7"/>
      <c r="D138" s="7"/>
      <c r="E138" s="7">
        <f t="shared" si="8"/>
        <v>0</v>
      </c>
      <c r="F138" s="7"/>
      <c r="G138" s="7"/>
      <c r="H138" s="34"/>
      <c r="I138" s="4"/>
    </row>
    <row r="139" spans="1:9" ht="116.25" customHeight="1" outlineLevel="1">
      <c r="A139" s="21" t="s">
        <v>234</v>
      </c>
      <c r="B139" s="6" t="s">
        <v>236</v>
      </c>
      <c r="C139" s="7">
        <v>237995</v>
      </c>
      <c r="D139" s="7">
        <v>1070978.3999999999</v>
      </c>
      <c r="E139" s="7">
        <f t="shared" si="8"/>
        <v>832983.39999999991</v>
      </c>
      <c r="F139" s="7">
        <v>1070978.3999999999</v>
      </c>
      <c r="G139" s="7">
        <v>2537142.48</v>
      </c>
      <c r="H139" s="34"/>
      <c r="I139" s="7">
        <v>2537142.48</v>
      </c>
    </row>
    <row r="140" spans="1:9" ht="46.5" customHeight="1" outlineLevel="1">
      <c r="A140" s="21" t="s">
        <v>239</v>
      </c>
      <c r="B140" s="6" t="s">
        <v>240</v>
      </c>
      <c r="C140" s="7"/>
      <c r="D140" s="7">
        <v>3000000</v>
      </c>
      <c r="E140" s="7">
        <f t="shared" si="8"/>
        <v>3000000</v>
      </c>
      <c r="F140" s="7">
        <v>450000</v>
      </c>
      <c r="G140" s="7"/>
      <c r="H140" s="34"/>
      <c r="I140" s="7"/>
    </row>
    <row r="141" spans="1:9" s="5" customFormat="1" ht="63">
      <c r="A141" s="3" t="s">
        <v>135</v>
      </c>
      <c r="B141" s="13" t="s">
        <v>136</v>
      </c>
      <c r="C141" s="4">
        <f>SUM(C142:C142)</f>
        <v>0</v>
      </c>
      <c r="D141" s="4">
        <f>SUM(D142:D142)</f>
        <v>0</v>
      </c>
      <c r="E141" s="4">
        <f t="shared" si="8"/>
        <v>0</v>
      </c>
      <c r="F141" s="4">
        <f>SUM(F142:F142)</f>
        <v>0</v>
      </c>
      <c r="G141" s="4">
        <f>SUM(G142:G142)</f>
        <v>0</v>
      </c>
      <c r="H141" s="33">
        <f>SUM(H142:H142)</f>
        <v>0</v>
      </c>
      <c r="I141" s="7"/>
    </row>
    <row r="142" spans="1:9" ht="66.75" hidden="1" customHeight="1" outlineLevel="1">
      <c r="A142" s="21" t="s">
        <v>137</v>
      </c>
      <c r="B142" s="6" t="s">
        <v>138</v>
      </c>
      <c r="C142" s="7"/>
      <c r="D142" s="7"/>
      <c r="E142" s="7">
        <f t="shared" si="8"/>
        <v>0</v>
      </c>
      <c r="F142" s="7"/>
      <c r="G142" s="7"/>
      <c r="H142" s="34"/>
      <c r="I142" s="4"/>
    </row>
    <row r="143" spans="1:9" ht="20.25" customHeight="1" collapsed="1">
      <c r="A143" s="14"/>
      <c r="B143" s="13" t="s">
        <v>125</v>
      </c>
      <c r="C143" s="4">
        <f>C12+C105</f>
        <v>668405359.39999998</v>
      </c>
      <c r="D143" s="4">
        <f>D12+D105</f>
        <v>658356372.56999993</v>
      </c>
      <c r="E143" s="4">
        <f t="shared" si="8"/>
        <v>-10048986.830000043</v>
      </c>
      <c r="F143" s="4">
        <f>F12+F105</f>
        <v>688384060.57999992</v>
      </c>
      <c r="G143" s="4">
        <f>G12+G105</f>
        <v>641004423.38</v>
      </c>
      <c r="H143" s="33" t="e">
        <f>H12+H105</f>
        <v>#REF!</v>
      </c>
      <c r="I143" s="4">
        <f>I12+I105</f>
        <v>661066025.73000002</v>
      </c>
    </row>
    <row r="144" spans="1:9" ht="15.75">
      <c r="C144" s="9"/>
      <c r="D144" s="9"/>
      <c r="E144" s="9"/>
      <c r="F144" s="9"/>
      <c r="G144" s="9"/>
      <c r="I144" s="4"/>
    </row>
    <row r="145" spans="2:9">
      <c r="I145" s="9"/>
    </row>
    <row r="146" spans="2:9" ht="17.25" customHeight="1"/>
    <row r="151" spans="2:9">
      <c r="B151" s="32"/>
    </row>
  </sheetData>
  <mergeCells count="2">
    <mergeCell ref="A7:G8"/>
    <mergeCell ref="A9:G9"/>
  </mergeCells>
  <pageMargins left="0.47244094488188981" right="0.39370078740157483" top="0.51181102362204722" bottom="0.27559055118110237" header="0.15748031496062992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Пинская Галина Павловна</dc:creator>
  <cp:lastModifiedBy>user</cp:lastModifiedBy>
  <cp:lastPrinted>2020-10-20T01:13:14Z</cp:lastPrinted>
  <dcterms:created xsi:type="dcterms:W3CDTF">2020-10-19T04:36:44Z</dcterms:created>
  <dcterms:modified xsi:type="dcterms:W3CDTF">2024-11-15T00:14:27Z</dcterms:modified>
</cp:coreProperties>
</file>