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80"/>
  </bookViews>
  <sheets>
    <sheet name="доходы" sheetId="1" r:id="rId1"/>
  </sheets>
  <definedNames>
    <definedName name="_xlnm.Print_Area" localSheetId="0">доходы!$A$2:$I$137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/>
  <c r="F43"/>
  <c r="G84"/>
  <c r="F84"/>
  <c r="G83"/>
  <c r="F83"/>
  <c r="F112"/>
  <c r="F111"/>
  <c r="F110"/>
  <c r="G115"/>
  <c r="F115"/>
  <c r="G121"/>
  <c r="F121"/>
  <c r="G134"/>
  <c r="F134"/>
  <c r="G133"/>
  <c r="F133"/>
  <c r="C95"/>
  <c r="C75"/>
  <c r="F92"/>
  <c r="G92"/>
  <c r="J92"/>
  <c r="C36"/>
  <c r="C31"/>
  <c r="C28"/>
  <c r="D107"/>
  <c r="G111"/>
  <c r="G110"/>
  <c r="D129"/>
  <c r="D41"/>
  <c r="E75"/>
  <c r="D75"/>
  <c r="D36"/>
  <c r="H117"/>
  <c r="I41"/>
  <c r="H41"/>
  <c r="E41"/>
  <c r="I129"/>
  <c r="H129"/>
  <c r="E129"/>
  <c r="I103"/>
  <c r="H103"/>
  <c r="E103"/>
  <c r="I95"/>
  <c r="F78"/>
  <c r="G78"/>
  <c r="F79"/>
  <c r="G79"/>
  <c r="J79"/>
  <c r="E65"/>
  <c r="H65"/>
  <c r="I60"/>
  <c r="I57" s="1"/>
  <c r="I56" s="1"/>
  <c r="H60"/>
  <c r="H57" s="1"/>
  <c r="H56" s="1"/>
  <c r="G53"/>
  <c r="G34"/>
  <c r="D135"/>
  <c r="E135"/>
  <c r="H135"/>
  <c r="I135"/>
  <c r="J135"/>
  <c r="I90"/>
  <c r="H90"/>
  <c r="H15"/>
  <c r="E28"/>
  <c r="D103"/>
  <c r="D52"/>
  <c r="C107"/>
  <c r="C103"/>
  <c r="C60"/>
  <c r="C57" s="1"/>
  <c r="G135" l="1"/>
  <c r="F135"/>
  <c r="C56"/>
  <c r="C63"/>
  <c r="C65"/>
  <c r="C62" l="1"/>
  <c r="I52"/>
  <c r="H52"/>
  <c r="E52"/>
  <c r="C52"/>
  <c r="J67"/>
  <c r="J99" l="1"/>
  <c r="J98"/>
  <c r="J97" l="1"/>
  <c r="J95" s="1"/>
  <c r="J91"/>
  <c r="J88"/>
  <c r="J87" s="1"/>
  <c r="J86"/>
  <c r="J85" s="1"/>
  <c r="J82"/>
  <c r="J81"/>
  <c r="J80"/>
  <c r="J77"/>
  <c r="J71"/>
  <c r="J70" s="1"/>
  <c r="J69"/>
  <c r="J65"/>
  <c r="J61"/>
  <c r="J60" s="1"/>
  <c r="J59"/>
  <c r="J58"/>
  <c r="J55"/>
  <c r="J52" s="1"/>
  <c r="J51"/>
  <c r="J50" s="1"/>
  <c r="J48"/>
  <c r="J40"/>
  <c r="J39"/>
  <c r="J34"/>
  <c r="J33"/>
  <c r="J32"/>
  <c r="J31" s="1"/>
  <c r="J30"/>
  <c r="J29"/>
  <c r="J16"/>
  <c r="J18"/>
  <c r="J131"/>
  <c r="J129"/>
  <c r="J117"/>
  <c r="J107"/>
  <c r="J103"/>
  <c r="J93"/>
  <c r="J63"/>
  <c r="J41"/>
  <c r="J36"/>
  <c r="J22"/>
  <c r="J21" s="1"/>
  <c r="J68" l="1"/>
  <c r="J46"/>
  <c r="J45" s="1"/>
  <c r="J28"/>
  <c r="J27" s="1"/>
  <c r="J38"/>
  <c r="J35" s="1"/>
  <c r="J75"/>
  <c r="J57"/>
  <c r="J56" s="1"/>
  <c r="J90"/>
  <c r="J102"/>
  <c r="J101" s="1"/>
  <c r="J62"/>
  <c r="J15"/>
  <c r="J14" s="1"/>
  <c r="C15"/>
  <c r="E107"/>
  <c r="H107"/>
  <c r="I107"/>
  <c r="J74" l="1"/>
  <c r="J44" s="1"/>
  <c r="J13"/>
  <c r="C14"/>
  <c r="G108"/>
  <c r="F108"/>
  <c r="F123"/>
  <c r="F124"/>
  <c r="F125"/>
  <c r="F126"/>
  <c r="F127"/>
  <c r="F128"/>
  <c r="G125"/>
  <c r="G126"/>
  <c r="G127"/>
  <c r="G128"/>
  <c r="I117"/>
  <c r="C117"/>
  <c r="E117"/>
  <c r="D117"/>
  <c r="G94"/>
  <c r="F94"/>
  <c r="I93"/>
  <c r="H93"/>
  <c r="D93"/>
  <c r="E93"/>
  <c r="E90" s="1"/>
  <c r="D90"/>
  <c r="C90"/>
  <c r="C93"/>
  <c r="C87"/>
  <c r="C85"/>
  <c r="I46"/>
  <c r="H46"/>
  <c r="D46"/>
  <c r="E46"/>
  <c r="C46"/>
  <c r="F26"/>
  <c r="G26"/>
  <c r="G20"/>
  <c r="F20"/>
  <c r="I15"/>
  <c r="D15"/>
  <c r="E15"/>
  <c r="C74" l="1"/>
  <c r="J12"/>
  <c r="J137" s="1"/>
  <c r="G93"/>
  <c r="F93"/>
  <c r="G30"/>
  <c r="F30"/>
  <c r="F29"/>
  <c r="G29"/>
  <c r="I28"/>
  <c r="H28"/>
  <c r="F28" l="1"/>
  <c r="D28"/>
  <c r="G28" s="1"/>
  <c r="G124"/>
  <c r="D131" l="1"/>
  <c r="C129"/>
  <c r="F130"/>
  <c r="G130"/>
  <c r="G123"/>
  <c r="G122"/>
  <c r="F122"/>
  <c r="G120"/>
  <c r="F120"/>
  <c r="G119"/>
  <c r="F119"/>
  <c r="G118"/>
  <c r="F118"/>
  <c r="G116"/>
  <c r="F116"/>
  <c r="G114"/>
  <c r="F114"/>
  <c r="G113"/>
  <c r="F113"/>
  <c r="G105"/>
  <c r="F105"/>
  <c r="G97"/>
  <c r="F97"/>
  <c r="G91"/>
  <c r="F91"/>
  <c r="G89"/>
  <c r="F89"/>
  <c r="G88"/>
  <c r="F88"/>
  <c r="G86"/>
  <c r="F86"/>
  <c r="G82"/>
  <c r="F82"/>
  <c r="G81"/>
  <c r="F81"/>
  <c r="G80"/>
  <c r="F80"/>
  <c r="G77"/>
  <c r="F77"/>
  <c r="G73"/>
  <c r="F73"/>
  <c r="G72"/>
  <c r="F72"/>
  <c r="G71"/>
  <c r="F71"/>
  <c r="G69"/>
  <c r="F69"/>
  <c r="G67"/>
  <c r="F67"/>
  <c r="G66"/>
  <c r="F66"/>
  <c r="G64"/>
  <c r="F64"/>
  <c r="G61"/>
  <c r="F61"/>
  <c r="G59"/>
  <c r="F59"/>
  <c r="G58"/>
  <c r="F58"/>
  <c r="F53"/>
  <c r="G51"/>
  <c r="F51"/>
  <c r="G49"/>
  <c r="F49"/>
  <c r="G48"/>
  <c r="F48"/>
  <c r="G47"/>
  <c r="F47"/>
  <c r="G42"/>
  <c r="F42"/>
  <c r="G40"/>
  <c r="F40"/>
  <c r="G39"/>
  <c r="F39"/>
  <c r="G37"/>
  <c r="F37"/>
  <c r="F34"/>
  <c r="G33"/>
  <c r="F33"/>
  <c r="G32"/>
  <c r="F32"/>
  <c r="G25"/>
  <c r="F25"/>
  <c r="G24"/>
  <c r="F24"/>
  <c r="G23"/>
  <c r="F23"/>
  <c r="G19"/>
  <c r="F19"/>
  <c r="G18"/>
  <c r="F18"/>
  <c r="G17"/>
  <c r="F17"/>
  <c r="G16"/>
  <c r="F16"/>
  <c r="C50"/>
  <c r="C41"/>
  <c r="I131"/>
  <c r="H131"/>
  <c r="E131"/>
  <c r="C131"/>
  <c r="D95"/>
  <c r="I65"/>
  <c r="D65"/>
  <c r="C102" l="1"/>
  <c r="F65"/>
  <c r="G41"/>
  <c r="F131"/>
  <c r="F95"/>
  <c r="G95"/>
  <c r="G65"/>
  <c r="F41"/>
  <c r="F129"/>
  <c r="F132"/>
  <c r="G132"/>
  <c r="G131"/>
  <c r="D87"/>
  <c r="D85"/>
  <c r="D70"/>
  <c r="D68" s="1"/>
  <c r="C70"/>
  <c r="C68" s="1"/>
  <c r="D63"/>
  <c r="D60"/>
  <c r="D57" s="1"/>
  <c r="D56" s="1"/>
  <c r="D50"/>
  <c r="D38"/>
  <c r="C38"/>
  <c r="C35" s="1"/>
  <c r="D27"/>
  <c r="D22"/>
  <c r="C22"/>
  <c r="D14"/>
  <c r="I87"/>
  <c r="H87"/>
  <c r="E87"/>
  <c r="F87" s="1"/>
  <c r="I85"/>
  <c r="H85"/>
  <c r="E85"/>
  <c r="I75"/>
  <c r="H75"/>
  <c r="I70"/>
  <c r="I68" s="1"/>
  <c r="H70"/>
  <c r="H68" s="1"/>
  <c r="E70"/>
  <c r="E68" s="1"/>
  <c r="I63"/>
  <c r="I62" s="1"/>
  <c r="H63"/>
  <c r="E63"/>
  <c r="E60"/>
  <c r="I50"/>
  <c r="H50"/>
  <c r="E50"/>
  <c r="F50" s="1"/>
  <c r="I38"/>
  <c r="I35" s="1"/>
  <c r="H38"/>
  <c r="H35" s="1"/>
  <c r="E38"/>
  <c r="I36"/>
  <c r="H36"/>
  <c r="E36"/>
  <c r="I31"/>
  <c r="I27" s="1"/>
  <c r="H31"/>
  <c r="H27" s="1"/>
  <c r="E27"/>
  <c r="I22"/>
  <c r="I21" s="1"/>
  <c r="H22"/>
  <c r="H21" s="1"/>
  <c r="E22"/>
  <c r="E21" s="1"/>
  <c r="I14"/>
  <c r="H14"/>
  <c r="D74" l="1"/>
  <c r="F85"/>
  <c r="E74"/>
  <c r="E57"/>
  <c r="E56" s="1"/>
  <c r="F56" s="1"/>
  <c r="H74"/>
  <c r="I74"/>
  <c r="E102"/>
  <c r="F52"/>
  <c r="F36"/>
  <c r="G52"/>
  <c r="G87"/>
  <c r="G85"/>
  <c r="G75"/>
  <c r="G63"/>
  <c r="F63"/>
  <c r="F60"/>
  <c r="G60"/>
  <c r="G50"/>
  <c r="F46"/>
  <c r="E35"/>
  <c r="F35" s="1"/>
  <c r="F38"/>
  <c r="G36"/>
  <c r="C27"/>
  <c r="F27" s="1"/>
  <c r="F31"/>
  <c r="F22"/>
  <c r="G129"/>
  <c r="F15"/>
  <c r="E14"/>
  <c r="D35"/>
  <c r="G38"/>
  <c r="D21"/>
  <c r="G21" s="1"/>
  <c r="G22"/>
  <c r="F68"/>
  <c r="F70"/>
  <c r="G46"/>
  <c r="G15"/>
  <c r="F75"/>
  <c r="G70"/>
  <c r="G27"/>
  <c r="G31"/>
  <c r="G109"/>
  <c r="F109"/>
  <c r="G103"/>
  <c r="F103"/>
  <c r="F136"/>
  <c r="G136"/>
  <c r="C101"/>
  <c r="F90"/>
  <c r="D62"/>
  <c r="H13"/>
  <c r="I13"/>
  <c r="I45"/>
  <c r="D45"/>
  <c r="C45"/>
  <c r="E45"/>
  <c r="H45"/>
  <c r="E62"/>
  <c r="H62"/>
  <c r="C21"/>
  <c r="F21" s="1"/>
  <c r="F117"/>
  <c r="E44" l="1"/>
  <c r="F57"/>
  <c r="G57"/>
  <c r="D44"/>
  <c r="H44"/>
  <c r="H12" s="1"/>
  <c r="E101"/>
  <c r="C13"/>
  <c r="G35"/>
  <c r="E13"/>
  <c r="D13"/>
  <c r="G90"/>
  <c r="G68"/>
  <c r="G62"/>
  <c r="F62"/>
  <c r="G56"/>
  <c r="F45"/>
  <c r="I102"/>
  <c r="I101" s="1"/>
  <c r="G14"/>
  <c r="F14"/>
  <c r="G45"/>
  <c r="D102"/>
  <c r="D101" s="1"/>
  <c r="H102"/>
  <c r="H101" s="1"/>
  <c r="F107"/>
  <c r="G107"/>
  <c r="G117"/>
  <c r="F74"/>
  <c r="C44"/>
  <c r="I44"/>
  <c r="I12" s="1"/>
  <c r="E12" l="1"/>
  <c r="D12"/>
  <c r="C12"/>
  <c r="F13"/>
  <c r="G13"/>
  <c r="G74"/>
  <c r="F102"/>
  <c r="G102"/>
  <c r="H137"/>
  <c r="I137"/>
  <c r="F12" l="1"/>
  <c r="F44"/>
  <c r="G44"/>
  <c r="D137"/>
  <c r="G101"/>
  <c r="F101"/>
  <c r="C137"/>
  <c r="E137" l="1"/>
  <c r="G137" s="1"/>
  <c r="G12"/>
  <c r="F137" l="1"/>
</calcChain>
</file>

<file path=xl/sharedStrings.xml><?xml version="1.0" encoding="utf-8"?>
<sst xmlns="http://schemas.openxmlformats.org/spreadsheetml/2006/main" count="261" uniqueCount="259">
  <si>
    <t>КБК</t>
  </si>
  <si>
    <t>Наименования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</si>
  <si>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</si>
  <si>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</si>
  <si>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</si>
  <si>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</si>
  <si>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</si>
  <si>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</si>
  <si>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</si>
  <si>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</si>
  <si>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</si>
  <si>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</si>
  <si>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</si>
  <si>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</si>
  <si>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</si>
  <si>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</si>
  <si>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</si>
  <si>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</si>
  <si>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</si>
  <si>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</si>
  <si>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</si>
  <si>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</si>
  <si>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</si>
  <si>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</si>
  <si>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</si>
  <si>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</si>
  <si>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</si>
  <si>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</si>
  <si>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</si>
  <si>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</si>
  <si>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</si>
  <si>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</si>
  <si>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</si>
  <si>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1 05 03010 01 0000 110</t>
  </si>
  <si>
    <t>Единый сельскохозяйственный налог</t>
  </si>
  <si>
    <t>1 05 04010 02 0000 110</t>
  </si>
  <si>
    <t>1 06 00000 00 0000 000</t>
  </si>
  <si>
    <t>НАЛОГИ НА ИМУЩЕСТВО</t>
  </si>
  <si>
    <t xml:space="preserve">1 06 01000 00 0000 110
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</si>
  <si>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</si>
  <si>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</si>
  <si>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</si>
  <si>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</si>
  <si>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</si>
  <si>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 xml:space="preserve">1 08 03010 01 0000 110
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</si>
  <si>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</si>
  <si>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</si>
  <si>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</si>
  <si>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</si>
  <si>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</si>
  <si>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</si>
  <si>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</si>
  <si>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</si>
  <si>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</si>
  <si>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1 11 07000 00 0000 120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</si>
  <si>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</si>
  <si>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</si>
  <si>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</si>
  <si>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</si>
  <si>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</si>
  <si>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</si>
  <si>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</si>
  <si>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</si>
  <si>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</si>
  <si>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</si>
  <si>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</si>
  <si>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</si>
  <si>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</si>
  <si>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</si>
  <si>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1 12 01041 01 0000 120</t>
  </si>
  <si>
    <t>Плата за размещение отходов производства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</si>
  <si>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</si>
  <si>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</si>
  <si>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</si>
  <si>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</si>
  <si>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1 13 02000 00 0000 130</t>
  </si>
  <si>
    <t>Доходы от компенсации затрат государства</t>
  </si>
  <si>
    <t>1 13 02994 04 0000 130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</si>
  <si>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</si>
  <si>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</si>
  <si>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</si>
  <si>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</si>
  <si>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</si>
  <si>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</si>
  <si>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</si>
  <si>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</si>
  <si>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</si>
  <si>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</si>
  <si>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</si>
  <si>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</si>
  <si>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</si>
  <si>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</si>
  <si>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</si>
  <si>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</si>
  <si>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</si>
  <si>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</si>
  <si>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</si>
  <si>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</si>
  <si>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</si>
  <si>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</si>
  <si>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</si>
  <si>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</si>
  <si>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</si>
  <si>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</si>
  <si>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</si>
  <si>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1 16 10000 00 0000 140</t>
  </si>
  <si>
    <t>Платежи в целях возмещения причиненного ущерба (убытков)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</si>
  <si>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</si>
  <si>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</si>
  <si>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1 16 10129 01 0000 140</t>
  </si>
  <si>
    <t>1 17 00000 00 0000 000</t>
  </si>
  <si>
    <t>ПРОЧИЕ НЕНАЛОГОВЫЕ ДОХОДЫ</t>
  </si>
  <si>
    <t>Прочие неналоговые доходы бюджетов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</si>
  <si>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</si>
  <si>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</si>
  <si>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</si>
  <si>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</si>
  <si>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</si>
  <si>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</si>
  <si>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</si>
  <si>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</si>
  <si>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</si>
  <si>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</si>
  <si>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</si>
  <si>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</si>
  <si>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ВСЕГО ДОХОДОВ</t>
  </si>
  <si>
    <t>руб.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</si>
  <si>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</si>
  <si>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</si>
  <si>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2 02 25519 04 0000 150
</t>
  </si>
  <si>
    <t>Субсидии бюджетам городских округов на поддержку отрасли культуры</t>
  </si>
  <si>
    <t>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</si>
  <si>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</si>
  <si>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2 18 04010 04 0000 150</t>
  </si>
  <si>
    <t>Доходы бюджетов городских округов от возврата бюджетными учреждениями остатков субсидий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</si>
  <si>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</si>
  <si>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</si>
  <si>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</si>
  <si>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</si>
  <si>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1 16 07000 00 0000 140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</si>
  <si>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</si>
  <si>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</si>
  <si>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</si>
  <si>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</si>
  <si>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</si>
  <si>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</si>
  <si>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НАЛОГОВЫЕДОХОДЫ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</si>
  <si>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</si>
  <si>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2024 год
(проект бюджета)</t>
  </si>
  <si>
    <t>1 01 02080 01 0000 110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</si>
  <si>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</si>
  <si>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</si>
  <si>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</si>
  <si>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1 16 11000 01 0000 140</t>
  </si>
  <si>
    <t>Платежи, уплачиваемые в целях возмещения вреда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</si>
  <si>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
</t>
  </si>
  <si>
    <t>1 16 01103 01 0000 140</t>
  </si>
  <si>
    <t>1 17 05040 04 1003 180</t>
  </si>
  <si>
    <t>1 17 05040 04 1004 180</t>
  </si>
  <si>
    <t>1 17 05040 04 1005 180</t>
  </si>
  <si>
    <t>плата за включение хозяйствующего субъекта в схему размещения нестационарных торговых объектов</t>
  </si>
  <si>
    <t>плата за выдачу разрешения на использование земель или земельных участков, находящихся в государственной или муниципальной собственности, без предоставления земельных участков и установления сервитута</t>
  </si>
  <si>
    <t>плата за установку и эксплуатацию рекламных конструкций, расположенных на земельных участках, государственная собственность на которые не разграничена</t>
  </si>
  <si>
    <t>1 11 09044 04 1002 120</t>
  </si>
  <si>
    <t>1 11 09044 04 1003 120</t>
  </si>
  <si>
    <t>плата за предоставление муниципального рекламного места</t>
  </si>
  <si>
    <t>плата за наём жилья</t>
  </si>
  <si>
    <t>1 06 06032 14 0000 110</t>
  </si>
  <si>
    <t>1 06 06042 14 0000 110</t>
  </si>
  <si>
    <t>1 06 01020 14 0000 110</t>
  </si>
  <si>
    <t>1 11 05012 14 0000 120</t>
  </si>
  <si>
    <t>1 11 05034 14 0000 120</t>
  </si>
  <si>
    <t>1 11 05074 14 0000 120</t>
  </si>
  <si>
    <t>1 11 07014 14 0000 120</t>
  </si>
  <si>
    <t>1 11 09080 14000 120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</si>
  <si>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округов, и на землях или земельных участках, государственная собственность на которые не разграничена
</t>
  </si>
  <si>
    <t>1 16 07010 14 0000 140</t>
  </si>
  <si>
    <t>1 16 07090 14 0000 140</t>
  </si>
  <si>
    <t>2 02 15002 14 0000 150</t>
  </si>
  <si>
    <t>Дотации бюджетам муниципальных  округов на поддержку мер по обеспечению сбалансированности бюджетов</t>
  </si>
  <si>
    <t>Иные дотации бюджетам муниципальных округов</t>
  </si>
  <si>
    <t>2 02 19999 14 0000 150</t>
  </si>
  <si>
    <t>2 02 20299 14 0000 150</t>
  </si>
  <si>
    <t>2 02 20302 14 0000 150</t>
  </si>
  <si>
    <t>2 02 25497 14 0000 150</t>
  </si>
  <si>
    <t>2 02 25519 14 0000 150</t>
  </si>
  <si>
    <t>Субсидии бюджетам муниципальных округов на оснащение образовательных учреждений в сфере культуры музыкальными инструментами</t>
  </si>
  <si>
    <t>2 02 35118 14 0000 150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</si>
  <si>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</si>
  <si>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>2025 год
(проект бюджета)</t>
  </si>
  <si>
    <t>2 02 25467 14 0000 150</t>
  </si>
  <si>
    <t>1 14 02043 14 0000 410</t>
  </si>
  <si>
    <t>1 14 06012 14 0000 430</t>
  </si>
  <si>
    <t>1 14 06024 14 0000 430</t>
  </si>
  <si>
    <t>1 14 06312 14 0000 430</t>
  </si>
  <si>
    <t>2 02 35120 14 0000 150</t>
  </si>
  <si>
    <t>2 02 35304 14 0000 150</t>
  </si>
  <si>
    <t>2 02 35260 14 0000 150</t>
  </si>
  <si>
    <t>2 02 35469 14 0000 150</t>
  </si>
  <si>
    <t>2 02 45303 14 0000 150</t>
  </si>
  <si>
    <t>2 02 36900 14 0000 150</t>
  </si>
  <si>
    <t>2 02 39999 14 0000 150</t>
  </si>
  <si>
    <t>2 02 30024 14 0000 150</t>
  </si>
  <si>
    <t>2 02 30029 14 0000 150</t>
  </si>
  <si>
    <t>2 02 35082 14 0000 150</t>
  </si>
  <si>
    <t>2 02 35930 14 0000 150</t>
  </si>
  <si>
    <t>2 02 29999 14 0000 150</t>
  </si>
  <si>
    <t>Прочие субвенции бюджетам муниципальных округов</t>
  </si>
  <si>
    <t>Единая субвенция бюджетам муниципальных округов из бюджета субъекта Российской Федерации</t>
  </si>
  <si>
    <t xml:space="preserve">Субвенции бюджетам муниципальных округов на государственную регистрацию актов гражданского состояния </t>
  </si>
  <si>
    <t>Субвенции бюджетам муниципальных  округов на проведение Всероссийской переписи населения 2020 года</t>
  </si>
  <si>
    <t>Субвенции бюджетам муниципальных 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</si>
  <si>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муниципальных 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</si>
  <si>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</si>
  <si>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</si>
  <si>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Субвенции бюджетам муниципальных 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</si>
  <si>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>Субвенции бюджетам муниципальных  округов на выполнение передаваемых полномочий субъектов Российской Федерации</t>
  </si>
  <si>
    <t>Прочие субсидии бюджетам муниципальных  округов</t>
  </si>
  <si>
    <t>Субсидии бюджетам муниципальных  округов на реализацию мероприятий по обеспечению жильем молодых семей</t>
  </si>
  <si>
    <t>Субсидии бюджетам муниципальных 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</si>
  <si>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</si>
  <si>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Прочие доходы от компенсации затрат бюджетов муниципальных  округов</t>
  </si>
  <si>
    <t>Земельный налог с организаций, обладающих земельным участком, расположенным в границах муниципальных  округов</t>
  </si>
  <si>
    <t>Земельный налог с физических лиц, обладающих земельным участком, расположенным в границах муниципальных  округов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</si>
  <si>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 округов</t>
  </si>
  <si>
    <t>Налог, взимаемый в связи с применением патентной системы налогообложения, зачисляемый в бюджеты муниципальных  округов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</si>
  <si>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</si>
  <si>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 округов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</si>
  <si>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</si>
  <si>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Сведения о доходах бюджета Лазовского муниципального округа </t>
  </si>
  <si>
    <t>2026 год
(проект бюджета)</t>
  </si>
  <si>
    <t>2022 год
(исполнение)</t>
  </si>
  <si>
    <t>2023 год
(ожидаемое исполнение)</t>
  </si>
  <si>
    <t>Отклонение от исполнения отчетного (2022) финансового года</t>
  </si>
  <si>
    <t>на 2024 год и плановый период 2025 и 2026 годов</t>
  </si>
  <si>
    <t>1 16 01203 019000 140</t>
  </si>
  <si>
    <t>1 16 01203 01 0002 140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</si>
  <si>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незаконное ограничение прав ро управлению транспортным средством и его эксплуатацию)</t>
  </si>
  <si>
    <t>2 02 15001 14 0000 150</t>
  </si>
  <si>
    <t>Дотации бюджетам муниципальных  округов на выравнивание бюджетной обеспеченности бюджетов</t>
  </si>
  <si>
    <t>2 02 45179 14 0000 150</t>
  </si>
  <si>
    <t>Межбюджетные трансферты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</si>
  <si>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муниципальных округов на проведение мероприятий по обеспечению деятельности советников директоров по воспитанию и взаимодействию с детскими общественными объединениямив  общеобразовательных организациях</t>
  </si>
  <si>
    <t xml:space="preserve">1 08 04020 01 0000 110
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</si>
  <si>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законодательными актами</t>
  </si>
  <si>
    <t>2 02 49999 14 0000 150</t>
  </si>
  <si>
    <t>Иные межбюджетные трансферты, передаваемые бюджетам муниципальных округов</t>
  </si>
  <si>
    <t>2 02 25098 14 0000 150</t>
  </si>
  <si>
    <t>Субсидии бюджетам муниципальных округов на обновление материально-технической базы для организации учебно-исследовательской, научно-технической, творческой деятельности, занятий физической культуры и спорта</t>
  </si>
  <si>
    <t>2 02 25228 14 0000 150</t>
  </si>
  <si>
    <t>Субсидии бюджетам муниципальных округов на оснащение объектов спортивной инфраструктуры спортивно-технологическим оборудованием</t>
  </si>
  <si>
    <t xml:space="preserve">1 16 01053 01 0035 140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</si>
  <si>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</si>
  <si>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Доходы, поступающие в порядке возмещения расходов, понесенных в связи с эксплуатацией имущества муниципальных округов</t>
  </si>
  <si>
    <t xml:space="preserve">1 13 02064 14 0000 130
</t>
  </si>
  <si>
    <t>1 17 01040 14 0000 180</t>
  </si>
  <si>
    <t>1 17 05040 14 0000 180</t>
  </si>
  <si>
    <t>Невыясненные поступления</t>
  </si>
  <si>
    <t>Отклонение от ожидаемого исполнения текущего (2023) финансового года</t>
  </si>
</sst>
</file>

<file path=xl/styles.xml><?xml version="1.0" encoding="utf-8"?>
<styleSheet xmlns="http://schemas.openxmlformats.org/spreadsheetml/2006/main">
  <numFmts count="1">
    <numFmt numFmtId="164" formatCode="#,##0.000"/>
  </numFmts>
  <fonts count="12">
    <font>
      <sz val="10"/>
      <name val="Arial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Arial Cyr"/>
      <charset val="204"/>
    </font>
    <font>
      <b/>
      <i/>
      <sz val="12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1" fillId="0" borderId="0" xfId="0" applyNumberFormat="1" applyFont="1" applyFill="1"/>
    <xf numFmtId="0" fontId="3" fillId="0" borderId="0" xfId="0" applyFont="1" applyFill="1"/>
    <xf numFmtId="0" fontId="7" fillId="0" borderId="1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vertical="top"/>
    </xf>
    <xf numFmtId="0" fontId="9" fillId="0" borderId="0" xfId="0" applyFont="1" applyFill="1"/>
    <xf numFmtId="0" fontId="8" fillId="0" borderId="1" xfId="0" applyFont="1" applyFill="1" applyBorder="1" applyAlignment="1">
      <alignment horizontal="justify" vertical="top" wrapText="1"/>
    </xf>
    <xf numFmtId="4" fontId="8" fillId="0" borderId="1" xfId="0" applyNumberFormat="1" applyFont="1" applyFill="1" applyBorder="1" applyAlignment="1">
      <alignment vertical="top"/>
    </xf>
    <xf numFmtId="0" fontId="2" fillId="0" borderId="0" xfId="0" applyFont="1" applyFill="1"/>
    <xf numFmtId="4" fontId="1" fillId="0" borderId="0" xfId="0" applyNumberFormat="1" applyFont="1" applyFill="1"/>
    <xf numFmtId="1" fontId="7" fillId="0" borderId="1" xfId="0" applyNumberFormat="1" applyFont="1" applyFill="1" applyBorder="1" applyAlignment="1">
      <alignment horizontal="center" vertical="top" wrapText="1"/>
    </xf>
    <xf numFmtId="164" fontId="8" fillId="0" borderId="0" xfId="0" applyNumberFormat="1" applyFont="1" applyFill="1" applyBorder="1"/>
    <xf numFmtId="164" fontId="8" fillId="0" borderId="0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vertical="top"/>
    </xf>
    <xf numFmtId="0" fontId="2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justify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8" fillId="0" borderId="1" xfId="0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vertical="top"/>
    </xf>
    <xf numFmtId="0" fontId="1" fillId="0" borderId="0" xfId="0" applyFont="1" applyFill="1"/>
    <xf numFmtId="0" fontId="1" fillId="0" borderId="0" xfId="0" applyFont="1" applyFill="1" applyAlignment="1">
      <alignment horizontal="justify"/>
    </xf>
    <xf numFmtId="49" fontId="3" fillId="0" borderId="0" xfId="0" applyNumberFormat="1" applyFont="1" applyFill="1"/>
    <xf numFmtId="4" fontId="3" fillId="0" borderId="0" xfId="0" applyNumberFormat="1" applyFont="1" applyFill="1"/>
    <xf numFmtId="4" fontId="4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4" fontId="6" fillId="0" borderId="0" xfId="0" applyNumberFormat="1" applyFont="1" applyFill="1" applyAlignment="1">
      <alignment horizontal="justify" wrapText="1"/>
    </xf>
    <xf numFmtId="0" fontId="2" fillId="0" borderId="0" xfId="0" applyFont="1" applyFill="1" applyAlignment="1">
      <alignment horizontal="justify"/>
    </xf>
    <xf numFmtId="164" fontId="4" fillId="0" borderId="0" xfId="0" applyNumberFormat="1" applyFont="1" applyFill="1"/>
    <xf numFmtId="0" fontId="11" fillId="0" borderId="0" xfId="0" applyFont="1" applyFill="1" applyAlignment="1">
      <alignment horizontal="justify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145"/>
  <sheetViews>
    <sheetView tabSelected="1" topLeftCell="A7" zoomScale="70" zoomScaleNormal="70" zoomScaleSheetLayoutView="70" workbookViewId="0">
      <pane xSplit="2" ySplit="6" topLeftCell="C130" activePane="bottomRight" state="frozen"/>
      <selection activeCell="A7" sqref="A7"/>
      <selection pane="topRight" activeCell="C7" sqref="C7"/>
      <selection pane="bottomLeft" activeCell="A13" sqref="A13"/>
      <selection pane="bottomRight" activeCell="G12" sqref="G12"/>
    </sheetView>
  </sheetViews>
  <sheetFormatPr defaultRowHeight="12" outlineLevelRow="1"/>
  <cols>
    <col min="1" max="1" width="24.85546875" style="8" customWidth="1"/>
    <col min="2" max="2" width="50.85546875" style="31" customWidth="1"/>
    <col min="3" max="3" width="21" style="1" customWidth="1"/>
    <col min="4" max="4" width="19.28515625" style="1" customWidth="1"/>
    <col min="5" max="5" width="20.42578125" style="1" customWidth="1"/>
    <col min="6" max="6" width="20.5703125" style="1" bestFit="1" customWidth="1"/>
    <col min="7" max="7" width="19.7109375" style="1" customWidth="1"/>
    <col min="8" max="8" width="19.28515625" style="1" customWidth="1"/>
    <col min="9" max="9" width="20" style="1" customWidth="1"/>
    <col min="10" max="10" width="18.85546875" style="8" hidden="1" customWidth="1"/>
    <col min="11" max="16384" width="9.140625" style="8"/>
  </cols>
  <sheetData>
    <row r="1" spans="1:10">
      <c r="A1" s="23"/>
      <c r="B1" s="24"/>
    </row>
    <row r="2" spans="1:10" s="2" customFormat="1" ht="15" collapsed="1">
      <c r="A2" s="25"/>
      <c r="B2" s="26"/>
      <c r="C2" s="27"/>
      <c r="E2" s="27"/>
      <c r="F2" s="28"/>
      <c r="H2" s="28"/>
    </row>
    <row r="3" spans="1:10" s="2" customFormat="1" ht="15">
      <c r="A3" s="25"/>
      <c r="B3" s="26"/>
      <c r="C3" s="27"/>
      <c r="E3" s="27"/>
      <c r="F3" s="28"/>
      <c r="H3" s="28"/>
    </row>
    <row r="4" spans="1:10" s="2" customFormat="1" ht="15">
      <c r="A4" s="25"/>
      <c r="B4" s="26"/>
      <c r="C4" s="27"/>
      <c r="E4" s="27"/>
      <c r="F4" s="28"/>
      <c r="H4" s="28"/>
    </row>
    <row r="5" spans="1:10" s="2" customFormat="1" ht="15">
      <c r="A5" s="25"/>
      <c r="B5" s="26"/>
      <c r="C5" s="27"/>
      <c r="E5" s="27"/>
      <c r="F5" s="28"/>
      <c r="H5" s="28"/>
    </row>
    <row r="6" spans="1:10" s="2" customFormat="1" ht="13.5" customHeight="1">
      <c r="A6" s="25"/>
      <c r="B6" s="29"/>
      <c r="C6" s="30"/>
      <c r="E6" s="30"/>
    </row>
    <row r="7" spans="1:10" s="15" customFormat="1" ht="15.75" customHeight="1">
      <c r="A7" s="34" t="s">
        <v>229</v>
      </c>
      <c r="B7" s="34"/>
      <c r="C7" s="34"/>
      <c r="D7" s="34"/>
      <c r="E7" s="34"/>
      <c r="F7" s="34"/>
      <c r="G7" s="34"/>
      <c r="H7" s="34"/>
      <c r="I7" s="34"/>
    </row>
    <row r="8" spans="1:10" s="15" customFormat="1" ht="13.5" customHeight="1">
      <c r="A8" s="34"/>
      <c r="B8" s="34"/>
      <c r="C8" s="34"/>
      <c r="D8" s="34"/>
      <c r="E8" s="34"/>
      <c r="F8" s="34"/>
      <c r="G8" s="34"/>
      <c r="H8" s="34"/>
      <c r="I8" s="34"/>
    </row>
    <row r="9" spans="1:10" s="15" customFormat="1" ht="17.25" customHeight="1">
      <c r="A9" s="35" t="s">
        <v>234</v>
      </c>
      <c r="B9" s="35"/>
      <c r="C9" s="35"/>
      <c r="D9" s="35"/>
      <c r="E9" s="35"/>
      <c r="F9" s="35"/>
      <c r="G9" s="35"/>
      <c r="H9" s="35"/>
      <c r="I9" s="35"/>
    </row>
    <row r="10" spans="1:10" s="15" customFormat="1" ht="15.75">
      <c r="A10" s="16"/>
      <c r="B10" s="17"/>
      <c r="C10" s="11"/>
      <c r="D10" s="11"/>
      <c r="E10" s="11"/>
      <c r="F10" s="16"/>
      <c r="G10" s="12"/>
      <c r="H10" s="16"/>
      <c r="I10" s="12" t="s">
        <v>126</v>
      </c>
    </row>
    <row r="11" spans="1:10" s="20" customFormat="1" ht="94.5">
      <c r="A11" s="18" t="s">
        <v>0</v>
      </c>
      <c r="B11" s="19" t="s">
        <v>1</v>
      </c>
      <c r="C11" s="10" t="s">
        <v>231</v>
      </c>
      <c r="D11" s="10" t="s">
        <v>232</v>
      </c>
      <c r="E11" s="10" t="s">
        <v>148</v>
      </c>
      <c r="F11" s="10" t="s">
        <v>233</v>
      </c>
      <c r="G11" s="10" t="s">
        <v>258</v>
      </c>
      <c r="H11" s="10" t="s">
        <v>189</v>
      </c>
      <c r="I11" s="10" t="s">
        <v>230</v>
      </c>
    </row>
    <row r="12" spans="1:10" s="5" customFormat="1" ht="18" customHeight="1">
      <c r="A12" s="3" t="s">
        <v>2</v>
      </c>
      <c r="B12" s="13" t="s">
        <v>3</v>
      </c>
      <c r="C12" s="4">
        <f>C13+C44</f>
        <v>329624073.80000007</v>
      </c>
      <c r="D12" s="4">
        <f>D13+D44</f>
        <v>258546408.87</v>
      </c>
      <c r="E12" s="4">
        <f>E13+E44</f>
        <v>130676348</v>
      </c>
      <c r="F12" s="4">
        <f>E12-C12</f>
        <v>-198947725.80000007</v>
      </c>
      <c r="G12" s="4">
        <f>E12-D12</f>
        <v>-127870060.87</v>
      </c>
      <c r="H12" s="4">
        <f>H13+H44</f>
        <v>130704554</v>
      </c>
      <c r="I12" s="4">
        <f>I13+I44</f>
        <v>132247989.56999999</v>
      </c>
      <c r="J12" s="4" t="e">
        <f>J13+J44+#REF!</f>
        <v>#REF!</v>
      </c>
    </row>
    <row r="13" spans="1:10" s="5" customFormat="1" ht="15.75">
      <c r="A13" s="3"/>
      <c r="B13" s="13" t="s">
        <v>146</v>
      </c>
      <c r="C13" s="4">
        <f>C15+C22+C27+C35+C41</f>
        <v>308674179.19000006</v>
      </c>
      <c r="D13" s="4">
        <f>D15+D22+D27+D35+D41</f>
        <v>234275613.97999999</v>
      </c>
      <c r="E13" s="4">
        <f>E15+E22+E27+E35+E41</f>
        <v>100620708</v>
      </c>
      <c r="F13" s="4">
        <f t="shared" ref="F13:F79" si="0">E13-C13</f>
        <v>-208053471.19000006</v>
      </c>
      <c r="G13" s="4">
        <f t="shared" ref="G13:G79" si="1">E13-D13</f>
        <v>-133654905.97999999</v>
      </c>
      <c r="H13" s="4">
        <f>H15+H22+H27+H35+H41</f>
        <v>103361000</v>
      </c>
      <c r="I13" s="4">
        <f>I15+I22+I27+I35+I41</f>
        <v>105635764</v>
      </c>
      <c r="J13" s="4">
        <f>J15+J22+J27+J35+J41</f>
        <v>623709825</v>
      </c>
    </row>
    <row r="14" spans="1:10" s="5" customFormat="1" ht="15.75">
      <c r="A14" s="3" t="s">
        <v>4</v>
      </c>
      <c r="B14" s="13" t="s">
        <v>5</v>
      </c>
      <c r="C14" s="4">
        <f t="shared" ref="C14:E14" si="2">C15</f>
        <v>278373520.30000001</v>
      </c>
      <c r="D14" s="4">
        <f t="shared" si="2"/>
        <v>212309613.97999999</v>
      </c>
      <c r="E14" s="4">
        <f t="shared" si="2"/>
        <v>75717000</v>
      </c>
      <c r="F14" s="4">
        <f t="shared" ref="F14" si="3">E14-C14</f>
        <v>-202656520.30000001</v>
      </c>
      <c r="G14" s="4">
        <f t="shared" ref="G14" si="4">E14-D14</f>
        <v>-136592613.97999999</v>
      </c>
      <c r="H14" s="4">
        <f t="shared" ref="H14:J14" si="5">H15</f>
        <v>77800000</v>
      </c>
      <c r="I14" s="4">
        <f t="shared" si="5"/>
        <v>79650764</v>
      </c>
      <c r="J14" s="4">
        <f t="shared" si="5"/>
        <v>553056795</v>
      </c>
    </row>
    <row r="15" spans="1:10" s="5" customFormat="1" ht="15.75">
      <c r="A15" s="3" t="s">
        <v>6</v>
      </c>
      <c r="B15" s="13" t="s">
        <v>7</v>
      </c>
      <c r="C15" s="4">
        <f>SUM(C16:C20)</f>
        <v>278373520.30000001</v>
      </c>
      <c r="D15" s="4">
        <f>SUM(D16:D20)</f>
        <v>212309613.97999999</v>
      </c>
      <c r="E15" s="4">
        <f>SUM(E16:E20)</f>
        <v>75717000</v>
      </c>
      <c r="F15" s="4">
        <f t="shared" si="0"/>
        <v>-202656520.30000001</v>
      </c>
      <c r="G15" s="4">
        <f t="shared" si="1"/>
        <v>-136592613.97999999</v>
      </c>
      <c r="H15" s="4">
        <f>SUM(H16:H20)</f>
        <v>77800000</v>
      </c>
      <c r="I15" s="4">
        <f>SUM(I16:I20)</f>
        <v>79650764</v>
      </c>
      <c r="J15" s="4">
        <f>SUM(J16:J20)</f>
        <v>553056795</v>
      </c>
    </row>
    <row r="16" spans="1:10" ht="96" customHeight="1" outlineLevel="1">
      <c r="A16" s="21" t="s">
        <v>8</v>
      </c>
      <c r="B16" s="6" t="s">
        <v>9</v>
      </c>
      <c r="C16" s="7">
        <v>271958398.60000002</v>
      </c>
      <c r="D16" s="7">
        <v>209979613.97999999</v>
      </c>
      <c r="E16" s="7">
        <v>73457000</v>
      </c>
      <c r="F16" s="7">
        <f t="shared" si="0"/>
        <v>-198501398.60000002</v>
      </c>
      <c r="G16" s="7">
        <f t="shared" si="1"/>
        <v>-136522613.97999999</v>
      </c>
      <c r="H16" s="7">
        <v>75300000</v>
      </c>
      <c r="I16" s="7">
        <v>77390764</v>
      </c>
      <c r="J16" s="7">
        <f>547505330-12200000</f>
        <v>535305330</v>
      </c>
    </row>
    <row r="17" spans="1:10" ht="141.75" outlineLevel="1">
      <c r="A17" s="21" t="s">
        <v>10</v>
      </c>
      <c r="B17" s="6" t="s">
        <v>11</v>
      </c>
      <c r="C17" s="7">
        <v>229340.47</v>
      </c>
      <c r="D17" s="7">
        <v>200000</v>
      </c>
      <c r="E17" s="7">
        <v>20000</v>
      </c>
      <c r="F17" s="7">
        <f t="shared" si="0"/>
        <v>-209340.47</v>
      </c>
      <c r="G17" s="7">
        <f t="shared" si="1"/>
        <v>-180000</v>
      </c>
      <c r="H17" s="7">
        <v>30000</v>
      </c>
      <c r="I17" s="7">
        <v>20000</v>
      </c>
      <c r="J17" s="7">
        <v>2449537</v>
      </c>
    </row>
    <row r="18" spans="1:10" ht="65.25" customHeight="1" outlineLevel="1">
      <c r="A18" s="21" t="s">
        <v>12</v>
      </c>
      <c r="B18" s="6" t="s">
        <v>13</v>
      </c>
      <c r="C18" s="7">
        <v>1383418.83</v>
      </c>
      <c r="D18" s="7">
        <v>100000</v>
      </c>
      <c r="E18" s="7">
        <v>225000</v>
      </c>
      <c r="F18" s="7">
        <f t="shared" si="0"/>
        <v>-1158418.83</v>
      </c>
      <c r="G18" s="7">
        <f t="shared" si="1"/>
        <v>125000</v>
      </c>
      <c r="H18" s="7">
        <v>300000</v>
      </c>
      <c r="I18" s="7">
        <v>225000</v>
      </c>
      <c r="J18" s="7">
        <f>2486928+600000</f>
        <v>3086928</v>
      </c>
    </row>
    <row r="19" spans="1:10" ht="111" customHeight="1" outlineLevel="1">
      <c r="A19" s="21" t="s">
        <v>14</v>
      </c>
      <c r="B19" s="6" t="s">
        <v>15</v>
      </c>
      <c r="C19" s="7">
        <v>-2454.2399999999998</v>
      </c>
      <c r="D19" s="7">
        <v>30000</v>
      </c>
      <c r="E19" s="7">
        <v>15000</v>
      </c>
      <c r="F19" s="7">
        <f t="shared" si="0"/>
        <v>17454.239999999998</v>
      </c>
      <c r="G19" s="7">
        <f t="shared" si="1"/>
        <v>-15000</v>
      </c>
      <c r="H19" s="7">
        <v>20000</v>
      </c>
      <c r="I19" s="7">
        <v>15000</v>
      </c>
      <c r="J19" s="7">
        <v>615000</v>
      </c>
    </row>
    <row r="20" spans="1:10" ht="129.75" customHeight="1" outlineLevel="1">
      <c r="A20" s="21" t="s">
        <v>149</v>
      </c>
      <c r="B20" s="6" t="s">
        <v>150</v>
      </c>
      <c r="C20" s="7">
        <v>4804816.6399999997</v>
      </c>
      <c r="D20" s="7">
        <v>2000000</v>
      </c>
      <c r="E20" s="7">
        <v>2000000</v>
      </c>
      <c r="F20" s="7">
        <f t="shared" si="0"/>
        <v>-2804816.6399999997</v>
      </c>
      <c r="G20" s="7">
        <f t="shared" si="1"/>
        <v>0</v>
      </c>
      <c r="H20" s="7">
        <v>2150000</v>
      </c>
      <c r="I20" s="7">
        <v>2000000</v>
      </c>
      <c r="J20" s="7">
        <v>11600000</v>
      </c>
    </row>
    <row r="21" spans="1:10" s="5" customFormat="1" ht="47.25">
      <c r="A21" s="3" t="s">
        <v>16</v>
      </c>
      <c r="B21" s="13" t="s">
        <v>17</v>
      </c>
      <c r="C21" s="4">
        <f>C22</f>
        <v>11719944.07</v>
      </c>
      <c r="D21" s="4">
        <f>D22</f>
        <v>11000000</v>
      </c>
      <c r="E21" s="4">
        <f>E22</f>
        <v>12310000</v>
      </c>
      <c r="F21" s="4">
        <f t="shared" si="0"/>
        <v>590055.9299999997</v>
      </c>
      <c r="G21" s="4">
        <f t="shared" si="1"/>
        <v>1310000</v>
      </c>
      <c r="H21" s="4">
        <f>H22</f>
        <v>12310000</v>
      </c>
      <c r="I21" s="4">
        <f>I22</f>
        <v>12310000</v>
      </c>
      <c r="J21" s="4">
        <f>J22</f>
        <v>11588530</v>
      </c>
    </row>
    <row r="22" spans="1:10" ht="47.25" outlineLevel="1">
      <c r="A22" s="3" t="s">
        <v>18</v>
      </c>
      <c r="B22" s="13" t="s">
        <v>19</v>
      </c>
      <c r="C22" s="4">
        <f>SUM(C23:C26)</f>
        <v>11719944.07</v>
      </c>
      <c r="D22" s="4">
        <f>SUM(D23:D26)</f>
        <v>11000000</v>
      </c>
      <c r="E22" s="4">
        <f>SUM(E23:E26)</f>
        <v>12310000</v>
      </c>
      <c r="F22" s="4">
        <f t="shared" si="0"/>
        <v>590055.9299999997</v>
      </c>
      <c r="G22" s="4">
        <f t="shared" si="1"/>
        <v>1310000</v>
      </c>
      <c r="H22" s="4">
        <f>SUM(H23:H26)</f>
        <v>12310000</v>
      </c>
      <c r="I22" s="4">
        <f>SUM(I23:I26)</f>
        <v>12310000</v>
      </c>
      <c r="J22" s="4">
        <f>SUM(J23:J26)</f>
        <v>11588530</v>
      </c>
    </row>
    <row r="23" spans="1:10" ht="141.75" customHeight="1" outlineLevel="1">
      <c r="A23" s="21" t="s">
        <v>20</v>
      </c>
      <c r="B23" s="6" t="s">
        <v>21</v>
      </c>
      <c r="C23" s="7">
        <v>5875290.4699999997</v>
      </c>
      <c r="D23" s="7">
        <v>4908500</v>
      </c>
      <c r="E23" s="7">
        <v>6346000</v>
      </c>
      <c r="F23" s="7">
        <f t="shared" si="0"/>
        <v>470709.53000000026</v>
      </c>
      <c r="G23" s="7">
        <f t="shared" si="1"/>
        <v>1437500</v>
      </c>
      <c r="H23" s="7">
        <v>6346000</v>
      </c>
      <c r="I23" s="7">
        <v>6346000</v>
      </c>
      <c r="J23" s="7">
        <v>5321040</v>
      </c>
    </row>
    <row r="24" spans="1:10" ht="162" customHeight="1" outlineLevel="1">
      <c r="A24" s="21" t="s">
        <v>22</v>
      </c>
      <c r="B24" s="6" t="s">
        <v>23</v>
      </c>
      <c r="C24" s="7">
        <v>31735.69</v>
      </c>
      <c r="D24" s="7">
        <v>27630</v>
      </c>
      <c r="E24" s="7">
        <v>32000</v>
      </c>
      <c r="F24" s="7">
        <f t="shared" si="0"/>
        <v>264.31000000000131</v>
      </c>
      <c r="G24" s="7">
        <f t="shared" si="1"/>
        <v>4370</v>
      </c>
      <c r="H24" s="7">
        <v>32000</v>
      </c>
      <c r="I24" s="7">
        <v>32000</v>
      </c>
      <c r="J24" s="7">
        <v>30320</v>
      </c>
    </row>
    <row r="25" spans="1:10" ht="143.25" customHeight="1" outlineLevel="1">
      <c r="A25" s="21" t="s">
        <v>24</v>
      </c>
      <c r="B25" s="6" t="s">
        <v>25</v>
      </c>
      <c r="C25" s="7">
        <v>6486984.21</v>
      </c>
      <c r="D25" s="7">
        <v>6675000</v>
      </c>
      <c r="E25" s="7">
        <v>6724000</v>
      </c>
      <c r="F25" s="7">
        <f t="shared" si="0"/>
        <v>237015.79000000004</v>
      </c>
      <c r="G25" s="7">
        <f t="shared" si="1"/>
        <v>49000</v>
      </c>
      <c r="H25" s="7">
        <v>6724000</v>
      </c>
      <c r="I25" s="7">
        <v>6724000</v>
      </c>
      <c r="J25" s="7">
        <v>6999520</v>
      </c>
    </row>
    <row r="26" spans="1:10" ht="143.25" customHeight="1" outlineLevel="1">
      <c r="A26" s="21" t="s">
        <v>26</v>
      </c>
      <c r="B26" s="6" t="s">
        <v>27</v>
      </c>
      <c r="C26" s="7">
        <v>-674066.3</v>
      </c>
      <c r="D26" s="7">
        <v>-611130</v>
      </c>
      <c r="E26" s="7">
        <v>-792000</v>
      </c>
      <c r="F26" s="7">
        <f t="shared" si="0"/>
        <v>-117933.69999999995</v>
      </c>
      <c r="G26" s="7">
        <f t="shared" si="1"/>
        <v>-180870</v>
      </c>
      <c r="H26" s="7">
        <v>-792000</v>
      </c>
      <c r="I26" s="7">
        <v>-792000</v>
      </c>
      <c r="J26" s="7">
        <v>-762350</v>
      </c>
    </row>
    <row r="27" spans="1:10" s="5" customFormat="1" ht="15.75">
      <c r="A27" s="3" t="s">
        <v>28</v>
      </c>
      <c r="B27" s="13" t="s">
        <v>29</v>
      </c>
      <c r="C27" s="4">
        <f>C28+C31+C33+C34</f>
        <v>11429215.99</v>
      </c>
      <c r="D27" s="4">
        <f>D28+D31+D33+D34</f>
        <v>3666000</v>
      </c>
      <c r="E27" s="4">
        <f>E28+E31+E33+E34</f>
        <v>3703708</v>
      </c>
      <c r="F27" s="4">
        <f t="shared" si="0"/>
        <v>-7725507.9900000002</v>
      </c>
      <c r="G27" s="4">
        <f t="shared" si="1"/>
        <v>37708</v>
      </c>
      <c r="H27" s="4">
        <f>H28+H31+H33+H34</f>
        <v>4233000</v>
      </c>
      <c r="I27" s="4">
        <f>I28+I31+I33+I34</f>
        <v>4550000</v>
      </c>
      <c r="J27" s="4">
        <f>J28+J31+J33+J34</f>
        <v>25819500</v>
      </c>
    </row>
    <row r="28" spans="1:10" s="5" customFormat="1" ht="31.5" outlineLevel="1">
      <c r="A28" s="3" t="s">
        <v>140</v>
      </c>
      <c r="B28" s="13" t="s">
        <v>141</v>
      </c>
      <c r="C28" s="4">
        <f>SUM(C29:C30)</f>
        <v>8633270.1799999997</v>
      </c>
      <c r="D28" s="4">
        <f>SUM(D29:D30)</f>
        <v>1060000</v>
      </c>
      <c r="E28" s="4">
        <f>SUM(E29:E30)</f>
        <v>391708</v>
      </c>
      <c r="F28" s="4">
        <f t="shared" ref="F28:F30" si="6">E28-C28</f>
        <v>-8241562.1799999997</v>
      </c>
      <c r="G28" s="4">
        <f t="shared" ref="G28:G30" si="7">E28-D28</f>
        <v>-668292</v>
      </c>
      <c r="H28" s="4">
        <f>SUM(H29:H30)</f>
        <v>720000</v>
      </c>
      <c r="I28" s="4">
        <f>SUM(I29:I30)</f>
        <v>784000</v>
      </c>
      <c r="J28" s="4">
        <f>SUM(J29:J30)</f>
        <v>2259000</v>
      </c>
    </row>
    <row r="29" spans="1:10" ht="47.25" outlineLevel="1">
      <c r="A29" s="21" t="s">
        <v>142</v>
      </c>
      <c r="B29" s="6" t="s">
        <v>143</v>
      </c>
      <c r="C29" s="7">
        <v>5072153.82</v>
      </c>
      <c r="D29" s="7">
        <v>500000</v>
      </c>
      <c r="E29" s="7">
        <v>180708</v>
      </c>
      <c r="F29" s="7">
        <f t="shared" si="6"/>
        <v>-4891445.82</v>
      </c>
      <c r="G29" s="7">
        <f t="shared" si="7"/>
        <v>-319292</v>
      </c>
      <c r="H29" s="7">
        <v>360000</v>
      </c>
      <c r="I29" s="7">
        <v>392000</v>
      </c>
      <c r="J29" s="7">
        <f>1468767-181137</f>
        <v>1287630</v>
      </c>
    </row>
    <row r="30" spans="1:10" ht="48.75" customHeight="1" outlineLevel="1">
      <c r="A30" s="21" t="s">
        <v>144</v>
      </c>
      <c r="B30" s="6" t="s">
        <v>145</v>
      </c>
      <c r="C30" s="7">
        <v>3561116.36</v>
      </c>
      <c r="D30" s="7">
        <v>560000</v>
      </c>
      <c r="E30" s="7">
        <v>211000</v>
      </c>
      <c r="F30" s="7">
        <f t="shared" si="6"/>
        <v>-3350116.36</v>
      </c>
      <c r="G30" s="7">
        <f t="shared" si="7"/>
        <v>-349000</v>
      </c>
      <c r="H30" s="7">
        <v>360000</v>
      </c>
      <c r="I30" s="7">
        <v>392000</v>
      </c>
      <c r="J30" s="7">
        <f>515523+455847</f>
        <v>971370</v>
      </c>
    </row>
    <row r="31" spans="1:10" s="5" customFormat="1" ht="31.5" outlineLevel="1">
      <c r="A31" s="3" t="s">
        <v>30</v>
      </c>
      <c r="B31" s="13" t="s">
        <v>31</v>
      </c>
      <c r="C31" s="4">
        <f>SUM(C32:C32)</f>
        <v>-94028.35</v>
      </c>
      <c r="D31" s="4"/>
      <c r="E31" s="4"/>
      <c r="F31" s="4">
        <f t="shared" si="0"/>
        <v>94028.35</v>
      </c>
      <c r="G31" s="4">
        <f t="shared" si="1"/>
        <v>0</v>
      </c>
      <c r="H31" s="4">
        <f>SUM(H32:H32)</f>
        <v>0</v>
      </c>
      <c r="I31" s="4">
        <f>SUM(I32:I32)</f>
        <v>0</v>
      </c>
      <c r="J31" s="4">
        <f>SUM(J32:J32)</f>
        <v>6596500</v>
      </c>
    </row>
    <row r="32" spans="1:10" ht="31.5" customHeight="1" outlineLevel="1">
      <c r="A32" s="21" t="s">
        <v>32</v>
      </c>
      <c r="B32" s="6" t="s">
        <v>31</v>
      </c>
      <c r="C32" s="7">
        <v>-94028.35</v>
      </c>
      <c r="D32" s="7"/>
      <c r="E32" s="7"/>
      <c r="F32" s="7">
        <f t="shared" si="0"/>
        <v>94028.35</v>
      </c>
      <c r="G32" s="7">
        <f t="shared" si="1"/>
        <v>0</v>
      </c>
      <c r="H32" s="7"/>
      <c r="I32" s="7"/>
      <c r="J32" s="7">
        <f>7672000-1075500</f>
        <v>6596500</v>
      </c>
    </row>
    <row r="33" spans="1:10" s="5" customFormat="1" ht="15.75" outlineLevel="1">
      <c r="A33" s="3" t="s">
        <v>33</v>
      </c>
      <c r="B33" s="13" t="s">
        <v>34</v>
      </c>
      <c r="C33" s="4">
        <v>604500.73</v>
      </c>
      <c r="D33" s="4">
        <v>484000</v>
      </c>
      <c r="E33" s="4">
        <v>693000</v>
      </c>
      <c r="F33" s="4">
        <f t="shared" si="0"/>
        <v>88499.270000000019</v>
      </c>
      <c r="G33" s="4">
        <f t="shared" si="1"/>
        <v>209000</v>
      </c>
      <c r="H33" s="4">
        <v>735000</v>
      </c>
      <c r="I33" s="4">
        <v>788000</v>
      </c>
      <c r="J33" s="4">
        <f>2496000+3176000</f>
        <v>5672000</v>
      </c>
    </row>
    <row r="34" spans="1:10" s="5" customFormat="1" ht="63" outlineLevel="1">
      <c r="A34" s="3" t="s">
        <v>35</v>
      </c>
      <c r="B34" s="13" t="s">
        <v>225</v>
      </c>
      <c r="C34" s="4">
        <v>2285473.4300000002</v>
      </c>
      <c r="D34" s="4">
        <v>2122000</v>
      </c>
      <c r="E34" s="4">
        <v>2619000</v>
      </c>
      <c r="F34" s="4">
        <f t="shared" si="0"/>
        <v>333526.56999999983</v>
      </c>
      <c r="G34" s="4">
        <f t="shared" si="1"/>
        <v>497000</v>
      </c>
      <c r="H34" s="4">
        <v>2778000</v>
      </c>
      <c r="I34" s="4">
        <v>2978000</v>
      </c>
      <c r="J34" s="4">
        <f>621000+10671000</f>
        <v>11292000</v>
      </c>
    </row>
    <row r="35" spans="1:10" s="5" customFormat="1" ht="15.75">
      <c r="A35" s="3" t="s">
        <v>36</v>
      </c>
      <c r="B35" s="13" t="s">
        <v>37</v>
      </c>
      <c r="C35" s="4">
        <f>C37+C38</f>
        <v>5329610.7300000004</v>
      </c>
      <c r="D35" s="4">
        <f>D37+D38</f>
        <v>5550000</v>
      </c>
      <c r="E35" s="4">
        <f>E37+E38</f>
        <v>7300000</v>
      </c>
      <c r="F35" s="4">
        <f t="shared" si="0"/>
        <v>1970389.2699999996</v>
      </c>
      <c r="G35" s="4">
        <f t="shared" si="1"/>
        <v>1750000</v>
      </c>
      <c r="H35" s="4">
        <f>H37+H38</f>
        <v>7410000</v>
      </c>
      <c r="I35" s="4">
        <f>I37+I38</f>
        <v>7510000</v>
      </c>
      <c r="J35" s="4">
        <f>J37+J38</f>
        <v>26189000</v>
      </c>
    </row>
    <row r="36" spans="1:10" s="5" customFormat="1" ht="31.5" outlineLevel="1">
      <c r="A36" s="3" t="s">
        <v>38</v>
      </c>
      <c r="B36" s="13" t="s">
        <v>39</v>
      </c>
      <c r="C36" s="4">
        <f>C37</f>
        <v>2148799.1800000002</v>
      </c>
      <c r="D36" s="4">
        <f>D37</f>
        <v>2100000</v>
      </c>
      <c r="E36" s="4">
        <f>E37</f>
        <v>2300000</v>
      </c>
      <c r="F36" s="4">
        <f t="shared" si="0"/>
        <v>151200.81999999983</v>
      </c>
      <c r="G36" s="4">
        <f t="shared" si="1"/>
        <v>200000</v>
      </c>
      <c r="H36" s="4">
        <f>H37</f>
        <v>2350000</v>
      </c>
      <c r="I36" s="4">
        <f>I37</f>
        <v>2400000</v>
      </c>
      <c r="J36" s="4">
        <f>J37</f>
        <v>16431000</v>
      </c>
    </row>
    <row r="37" spans="1:10" ht="65.25" customHeight="1" outlineLevel="1">
      <c r="A37" s="21" t="s">
        <v>169</v>
      </c>
      <c r="B37" s="6" t="s">
        <v>224</v>
      </c>
      <c r="C37" s="7">
        <v>2148799.1800000002</v>
      </c>
      <c r="D37" s="7">
        <v>2100000</v>
      </c>
      <c r="E37" s="7">
        <v>2300000</v>
      </c>
      <c r="F37" s="7">
        <f t="shared" si="0"/>
        <v>151200.81999999983</v>
      </c>
      <c r="G37" s="7">
        <f t="shared" si="1"/>
        <v>200000</v>
      </c>
      <c r="H37" s="7">
        <v>2350000</v>
      </c>
      <c r="I37" s="7">
        <v>2400000</v>
      </c>
      <c r="J37" s="7">
        <v>16431000</v>
      </c>
    </row>
    <row r="38" spans="1:10" s="5" customFormat="1" ht="15.75" outlineLevel="1">
      <c r="A38" s="3" t="s">
        <v>40</v>
      </c>
      <c r="B38" s="13" t="s">
        <v>41</v>
      </c>
      <c r="C38" s="4">
        <f>SUM(C39:C40)</f>
        <v>3180811.55</v>
      </c>
      <c r="D38" s="4">
        <f>SUM(D39:D40)</f>
        <v>3450000</v>
      </c>
      <c r="E38" s="4">
        <f>SUM(E39:E40)</f>
        <v>5000000</v>
      </c>
      <c r="F38" s="4">
        <f t="shared" si="0"/>
        <v>1819188.4500000002</v>
      </c>
      <c r="G38" s="4">
        <f t="shared" si="1"/>
        <v>1550000</v>
      </c>
      <c r="H38" s="4">
        <f>SUM(H39:H40)</f>
        <v>5060000</v>
      </c>
      <c r="I38" s="4">
        <f>SUM(I39:I40)</f>
        <v>5110000</v>
      </c>
      <c r="J38" s="4">
        <f>SUM(J39:J40)</f>
        <v>9758000</v>
      </c>
    </row>
    <row r="39" spans="1:10" ht="48" customHeight="1" outlineLevel="1">
      <c r="A39" s="21" t="s">
        <v>167</v>
      </c>
      <c r="B39" s="6" t="s">
        <v>222</v>
      </c>
      <c r="C39" s="7">
        <v>1690224.61</v>
      </c>
      <c r="D39" s="7">
        <v>2000000</v>
      </c>
      <c r="E39" s="7">
        <v>2500000</v>
      </c>
      <c r="F39" s="7">
        <f t="shared" si="0"/>
        <v>809775.3899999999</v>
      </c>
      <c r="G39" s="7">
        <f t="shared" si="1"/>
        <v>500000</v>
      </c>
      <c r="H39" s="7">
        <v>2510000</v>
      </c>
      <c r="I39" s="7">
        <v>2510000</v>
      </c>
      <c r="J39" s="7">
        <f>15432000-9008000</f>
        <v>6424000</v>
      </c>
    </row>
    <row r="40" spans="1:10" ht="48.75" customHeight="1" outlineLevel="1">
      <c r="A40" s="21" t="s">
        <v>168</v>
      </c>
      <c r="B40" s="6" t="s">
        <v>223</v>
      </c>
      <c r="C40" s="7">
        <v>1490586.94</v>
      </c>
      <c r="D40" s="7">
        <v>1450000</v>
      </c>
      <c r="E40" s="7">
        <v>2500000</v>
      </c>
      <c r="F40" s="7">
        <f t="shared" si="0"/>
        <v>1009413.06</v>
      </c>
      <c r="G40" s="7">
        <f t="shared" si="1"/>
        <v>1050000</v>
      </c>
      <c r="H40" s="7">
        <v>2550000</v>
      </c>
      <c r="I40" s="7">
        <v>2600000</v>
      </c>
      <c r="J40" s="7">
        <f>5638000-2304000</f>
        <v>3334000</v>
      </c>
    </row>
    <row r="41" spans="1:10" s="5" customFormat="1" ht="15.75">
      <c r="A41" s="3" t="s">
        <v>42</v>
      </c>
      <c r="B41" s="13" t="s">
        <v>43</v>
      </c>
      <c r="C41" s="4">
        <f>SUM(C42:C42)</f>
        <v>1821888.1</v>
      </c>
      <c r="D41" s="4">
        <f>D42+D43</f>
        <v>1750000</v>
      </c>
      <c r="E41" s="4">
        <f>E42+E43</f>
        <v>1590000</v>
      </c>
      <c r="F41" s="4">
        <f t="shared" si="0"/>
        <v>-231888.10000000009</v>
      </c>
      <c r="G41" s="4">
        <f t="shared" si="1"/>
        <v>-160000</v>
      </c>
      <c r="H41" s="4">
        <f>H42+H43</f>
        <v>1608000</v>
      </c>
      <c r="I41" s="4">
        <f>I42+I43</f>
        <v>1615000</v>
      </c>
      <c r="J41" s="4">
        <f>SUM(J42:J42)</f>
        <v>7056000</v>
      </c>
    </row>
    <row r="42" spans="1:10" ht="63.75" customHeight="1" outlineLevel="1">
      <c r="A42" s="21" t="s">
        <v>44</v>
      </c>
      <c r="B42" s="6" t="s">
        <v>45</v>
      </c>
      <c r="C42" s="7">
        <v>1821888.1</v>
      </c>
      <c r="D42" s="7">
        <v>1700000</v>
      </c>
      <c r="E42" s="7">
        <v>1540000</v>
      </c>
      <c r="F42" s="7">
        <f t="shared" si="0"/>
        <v>-281888.10000000009</v>
      </c>
      <c r="G42" s="7">
        <f t="shared" si="1"/>
        <v>-160000</v>
      </c>
      <c r="H42" s="7">
        <v>1548000</v>
      </c>
      <c r="I42" s="7">
        <v>1555000</v>
      </c>
      <c r="J42" s="7">
        <v>7056000</v>
      </c>
    </row>
    <row r="43" spans="1:10" ht="81.75" customHeight="1" outlineLevel="1">
      <c r="A43" s="21" t="s">
        <v>243</v>
      </c>
      <c r="B43" s="6" t="s">
        <v>244</v>
      </c>
      <c r="C43" s="7"/>
      <c r="D43" s="7">
        <v>50000</v>
      </c>
      <c r="E43" s="7">
        <v>50000</v>
      </c>
      <c r="F43" s="7">
        <f t="shared" si="0"/>
        <v>50000</v>
      </c>
      <c r="G43" s="7">
        <f t="shared" si="1"/>
        <v>0</v>
      </c>
      <c r="H43" s="7">
        <v>60000</v>
      </c>
      <c r="I43" s="7">
        <v>60000</v>
      </c>
      <c r="J43" s="7"/>
    </row>
    <row r="44" spans="1:10" ht="15.75">
      <c r="A44" s="3"/>
      <c r="B44" s="13" t="s">
        <v>46</v>
      </c>
      <c r="C44" s="4">
        <f>C45+C56+C62+C68+C74+C95</f>
        <v>20949894.610000003</v>
      </c>
      <c r="D44" s="4">
        <f>D45+D56+D62+D68+D74+D95</f>
        <v>24270794.890000001</v>
      </c>
      <c r="E44" s="4">
        <f>E45+E56+E62+E68+E74+E95</f>
        <v>30055640</v>
      </c>
      <c r="F44" s="4">
        <f t="shared" si="0"/>
        <v>9105745.3899999969</v>
      </c>
      <c r="G44" s="4">
        <f t="shared" si="1"/>
        <v>5784845.1099999994</v>
      </c>
      <c r="H44" s="4">
        <f>H45+H56+H62+H68+H74+H95</f>
        <v>27343554</v>
      </c>
      <c r="I44" s="4">
        <f>I45+I56+I62+I68+I74+I95</f>
        <v>26612225.57</v>
      </c>
      <c r="J44" s="4" t="e">
        <f>J45+J56+J62+J68+J74+J95</f>
        <v>#REF!</v>
      </c>
    </row>
    <row r="45" spans="1:10" ht="63">
      <c r="A45" s="3" t="s">
        <v>47</v>
      </c>
      <c r="B45" s="13" t="s">
        <v>48</v>
      </c>
      <c r="C45" s="4">
        <f>C46+C52+C50</f>
        <v>14157989.01</v>
      </c>
      <c r="D45" s="4">
        <f>D46+D52+D50</f>
        <v>17167187.890000001</v>
      </c>
      <c r="E45" s="4">
        <f>E46+E52+E50</f>
        <v>25975741</v>
      </c>
      <c r="F45" s="4">
        <f t="shared" si="0"/>
        <v>11817751.99</v>
      </c>
      <c r="G45" s="4">
        <f t="shared" si="1"/>
        <v>8808553.1099999994</v>
      </c>
      <c r="H45" s="4">
        <f>H46+H52+H50</f>
        <v>23840259</v>
      </c>
      <c r="I45" s="4">
        <f>I46+I52+I50</f>
        <v>23250229.350000001</v>
      </c>
      <c r="J45" s="4">
        <f>J46+J52+J50</f>
        <v>23497210</v>
      </c>
    </row>
    <row r="46" spans="1:10" s="5" customFormat="1" ht="141" customHeight="1" outlineLevel="1">
      <c r="A46" s="3" t="s">
        <v>49</v>
      </c>
      <c r="B46" s="13" t="s">
        <v>50</v>
      </c>
      <c r="C46" s="22">
        <f>SUM(C47:C49)</f>
        <v>14153789.01</v>
      </c>
      <c r="D46" s="22">
        <f>SUM(D47:D49)</f>
        <v>17165187.890000001</v>
      </c>
      <c r="E46" s="22">
        <f>SUM(E47:E49)</f>
        <v>25972741</v>
      </c>
      <c r="F46" s="22">
        <f t="shared" si="0"/>
        <v>11818951.99</v>
      </c>
      <c r="G46" s="22">
        <f t="shared" si="1"/>
        <v>8807553.1099999994</v>
      </c>
      <c r="H46" s="22">
        <f>SUM(H47:H49)</f>
        <v>23836759</v>
      </c>
      <c r="I46" s="22">
        <f>SUM(I47:I49)</f>
        <v>23246229.350000001</v>
      </c>
      <c r="J46" s="22">
        <f>SUM(J47:J49)</f>
        <v>15382090</v>
      </c>
    </row>
    <row r="47" spans="1:10" ht="98.25" customHeight="1" outlineLevel="1">
      <c r="A47" s="21" t="s">
        <v>170</v>
      </c>
      <c r="B47" s="6" t="s">
        <v>51</v>
      </c>
      <c r="C47" s="7">
        <v>10975729.279999999</v>
      </c>
      <c r="D47" s="7">
        <v>14069000</v>
      </c>
      <c r="E47" s="7">
        <v>22146600</v>
      </c>
      <c r="F47" s="7">
        <f t="shared" si="0"/>
        <v>11170870.720000001</v>
      </c>
      <c r="G47" s="7">
        <f t="shared" si="1"/>
        <v>8077600</v>
      </c>
      <c r="H47" s="7">
        <v>21500000</v>
      </c>
      <c r="I47" s="7">
        <v>21000000</v>
      </c>
      <c r="J47" s="7">
        <v>7373290</v>
      </c>
    </row>
    <row r="48" spans="1:10" ht="96.75" customHeight="1" outlineLevel="1">
      <c r="A48" s="21" t="s">
        <v>171</v>
      </c>
      <c r="B48" s="6" t="s">
        <v>52</v>
      </c>
      <c r="C48" s="7">
        <v>173262.3</v>
      </c>
      <c r="D48" s="7">
        <v>219000</v>
      </c>
      <c r="E48" s="7">
        <v>227652</v>
      </c>
      <c r="F48" s="7">
        <f t="shared" si="0"/>
        <v>54389.700000000012</v>
      </c>
      <c r="G48" s="7">
        <f t="shared" si="1"/>
        <v>8652</v>
      </c>
      <c r="H48" s="7">
        <v>236759</v>
      </c>
      <c r="I48" s="7">
        <v>246229.35</v>
      </c>
      <c r="J48" s="7">
        <f>9000-200</f>
        <v>8800</v>
      </c>
    </row>
    <row r="49" spans="1:10" ht="48.75" customHeight="1" outlineLevel="1">
      <c r="A49" s="21" t="s">
        <v>172</v>
      </c>
      <c r="B49" s="6" t="s">
        <v>53</v>
      </c>
      <c r="C49" s="7">
        <v>3004797.43</v>
      </c>
      <c r="D49" s="7">
        <v>2877187.89</v>
      </c>
      <c r="E49" s="7">
        <v>3598489</v>
      </c>
      <c r="F49" s="7">
        <f t="shared" si="0"/>
        <v>593691.56999999983</v>
      </c>
      <c r="G49" s="7">
        <f t="shared" si="1"/>
        <v>721301.10999999987</v>
      </c>
      <c r="H49" s="7">
        <v>2100000</v>
      </c>
      <c r="I49" s="7">
        <v>2000000</v>
      </c>
      <c r="J49" s="7">
        <v>8000000</v>
      </c>
    </row>
    <row r="50" spans="1:10" s="5" customFormat="1" ht="34.5" customHeight="1" outlineLevel="1">
      <c r="A50" s="3" t="s">
        <v>54</v>
      </c>
      <c r="B50" s="13" t="s">
        <v>55</v>
      </c>
      <c r="C50" s="4">
        <f>C51</f>
        <v>0</v>
      </c>
      <c r="D50" s="4">
        <f>D51</f>
        <v>0</v>
      </c>
      <c r="E50" s="4">
        <f>E51</f>
        <v>0</v>
      </c>
      <c r="F50" s="4">
        <f t="shared" si="0"/>
        <v>0</v>
      </c>
      <c r="G50" s="4">
        <f t="shared" si="1"/>
        <v>0</v>
      </c>
      <c r="H50" s="4">
        <f>H51</f>
        <v>0</v>
      </c>
      <c r="I50" s="4">
        <f>I51</f>
        <v>0</v>
      </c>
      <c r="J50" s="4">
        <f>J51</f>
        <v>4700</v>
      </c>
    </row>
    <row r="51" spans="1:10" ht="66" customHeight="1" outlineLevel="1">
      <c r="A51" s="21" t="s">
        <v>173</v>
      </c>
      <c r="B51" s="6" t="s">
        <v>56</v>
      </c>
      <c r="C51" s="7"/>
      <c r="D51" s="7"/>
      <c r="E51" s="7"/>
      <c r="F51" s="7">
        <f t="shared" si="0"/>
        <v>0</v>
      </c>
      <c r="G51" s="7">
        <f t="shared" si="1"/>
        <v>0</v>
      </c>
      <c r="H51" s="7"/>
      <c r="I51" s="7"/>
      <c r="J51" s="7">
        <f>19000-14300</f>
        <v>4700</v>
      </c>
    </row>
    <row r="52" spans="1:10" s="5" customFormat="1" ht="108" customHeight="1" outlineLevel="1">
      <c r="A52" s="3" t="s">
        <v>57</v>
      </c>
      <c r="B52" s="13" t="s">
        <v>58</v>
      </c>
      <c r="C52" s="4">
        <f>SUM(C53:C55)</f>
        <v>4200</v>
      </c>
      <c r="D52" s="4">
        <f>SUM(D53:D55)</f>
        <v>2000</v>
      </c>
      <c r="E52" s="4">
        <f>SUM(E53:E55)</f>
        <v>3000</v>
      </c>
      <c r="F52" s="4">
        <f t="shared" si="0"/>
        <v>-1200</v>
      </c>
      <c r="G52" s="4">
        <f t="shared" si="1"/>
        <v>1000</v>
      </c>
      <c r="H52" s="4">
        <f>SUM(H53:H55)</f>
        <v>3500</v>
      </c>
      <c r="I52" s="4">
        <f>SUM(I53:I55)</f>
        <v>4000</v>
      </c>
      <c r="J52" s="4">
        <f>SUM(J53:J55)</f>
        <v>8110420</v>
      </c>
    </row>
    <row r="53" spans="1:10" ht="144" customHeight="1" outlineLevel="1">
      <c r="A53" s="21" t="s">
        <v>174</v>
      </c>
      <c r="B53" s="6" t="s">
        <v>175</v>
      </c>
      <c r="C53" s="7">
        <v>4200</v>
      </c>
      <c r="D53" s="7">
        <v>2000</v>
      </c>
      <c r="E53" s="7">
        <v>3000</v>
      </c>
      <c r="F53" s="7">
        <f t="shared" si="0"/>
        <v>-1200</v>
      </c>
      <c r="G53" s="7">
        <f t="shared" si="1"/>
        <v>1000</v>
      </c>
      <c r="H53" s="7">
        <v>3500</v>
      </c>
      <c r="I53" s="7">
        <v>4000</v>
      </c>
      <c r="J53" s="7"/>
    </row>
    <row r="54" spans="1:10" ht="31.5" hidden="1" outlineLevel="1">
      <c r="A54" s="21" t="s">
        <v>163</v>
      </c>
      <c r="B54" s="6" t="s">
        <v>165</v>
      </c>
      <c r="C54" s="7"/>
      <c r="D54" s="7"/>
      <c r="E54" s="7"/>
      <c r="F54" s="7"/>
      <c r="G54" s="7"/>
      <c r="H54" s="7"/>
      <c r="I54" s="7"/>
      <c r="J54" s="7">
        <v>1500000</v>
      </c>
    </row>
    <row r="55" spans="1:10" ht="27.75" hidden="1" customHeight="1" outlineLevel="1">
      <c r="A55" s="21" t="s">
        <v>164</v>
      </c>
      <c r="B55" s="6" t="s">
        <v>166</v>
      </c>
      <c r="C55" s="7"/>
      <c r="D55" s="7"/>
      <c r="E55" s="7"/>
      <c r="F55" s="7"/>
      <c r="G55" s="7"/>
      <c r="H55" s="7"/>
      <c r="I55" s="7"/>
      <c r="J55" s="7">
        <f>5920660+689760</f>
        <v>6610420</v>
      </c>
    </row>
    <row r="56" spans="1:10" s="5" customFormat="1" ht="33.75" customHeight="1" collapsed="1">
      <c r="A56" s="3" t="s">
        <v>59</v>
      </c>
      <c r="B56" s="13" t="s">
        <v>60</v>
      </c>
      <c r="C56" s="4">
        <f>C57</f>
        <v>1444868.5099999998</v>
      </c>
      <c r="D56" s="4">
        <f>D57</f>
        <v>645000</v>
      </c>
      <c r="E56" s="4">
        <f>E57</f>
        <v>345000</v>
      </c>
      <c r="F56" s="4">
        <f t="shared" si="0"/>
        <v>-1099868.5099999998</v>
      </c>
      <c r="G56" s="4">
        <f t="shared" si="1"/>
        <v>-300000</v>
      </c>
      <c r="H56" s="4">
        <f>H57</f>
        <v>345000</v>
      </c>
      <c r="I56" s="4">
        <f>I57</f>
        <v>345000</v>
      </c>
      <c r="J56" s="4">
        <f>J57+J60</f>
        <v>1250000</v>
      </c>
    </row>
    <row r="57" spans="1:10" s="5" customFormat="1" ht="33.75" customHeight="1" outlineLevel="1">
      <c r="A57" s="3" t="s">
        <v>61</v>
      </c>
      <c r="B57" s="13" t="s">
        <v>62</v>
      </c>
      <c r="C57" s="4">
        <f>C58+C59+C60</f>
        <v>1444868.5099999998</v>
      </c>
      <c r="D57" s="4">
        <f>D58+D59+D60</f>
        <v>645000</v>
      </c>
      <c r="E57" s="4">
        <f>E58+E59+E60</f>
        <v>345000</v>
      </c>
      <c r="F57" s="4">
        <f t="shared" si="0"/>
        <v>-1099868.5099999998</v>
      </c>
      <c r="G57" s="4">
        <f t="shared" si="1"/>
        <v>-300000</v>
      </c>
      <c r="H57" s="4">
        <f>H58+H59+H60</f>
        <v>345000</v>
      </c>
      <c r="I57" s="4">
        <f>I58+I59+I60</f>
        <v>345000</v>
      </c>
      <c r="J57" s="4">
        <f>SUM(J58:J59)</f>
        <v>550000</v>
      </c>
    </row>
    <row r="58" spans="1:10" ht="33.75" customHeight="1" outlineLevel="1">
      <c r="A58" s="21" t="s">
        <v>63</v>
      </c>
      <c r="B58" s="6" t="s">
        <v>64</v>
      </c>
      <c r="C58" s="7">
        <v>11491.48</v>
      </c>
      <c r="D58" s="7">
        <v>15000</v>
      </c>
      <c r="E58" s="7">
        <v>15000</v>
      </c>
      <c r="F58" s="7">
        <f t="shared" si="0"/>
        <v>3508.5200000000004</v>
      </c>
      <c r="G58" s="7">
        <f t="shared" si="1"/>
        <v>0</v>
      </c>
      <c r="H58" s="7">
        <v>15000</v>
      </c>
      <c r="I58" s="7">
        <v>15000</v>
      </c>
      <c r="J58" s="7">
        <f>300000-250000</f>
        <v>50000</v>
      </c>
    </row>
    <row r="59" spans="1:10" ht="33" customHeight="1" outlineLevel="1">
      <c r="A59" s="21" t="s">
        <v>65</v>
      </c>
      <c r="B59" s="6" t="s">
        <v>66</v>
      </c>
      <c r="C59" s="7">
        <v>1549387.13</v>
      </c>
      <c r="D59" s="7">
        <v>600000</v>
      </c>
      <c r="E59" s="7">
        <v>300000</v>
      </c>
      <c r="F59" s="7">
        <f t="shared" si="0"/>
        <v>-1249387.1299999999</v>
      </c>
      <c r="G59" s="7">
        <f t="shared" si="1"/>
        <v>-300000</v>
      </c>
      <c r="H59" s="7">
        <v>300000</v>
      </c>
      <c r="I59" s="7">
        <v>300000</v>
      </c>
      <c r="J59" s="7">
        <f>1700000-1200000</f>
        <v>500000</v>
      </c>
    </row>
    <row r="60" spans="1:10" s="5" customFormat="1" ht="33.75" customHeight="1" outlineLevel="1">
      <c r="A60" s="3" t="s">
        <v>67</v>
      </c>
      <c r="B60" s="13" t="s">
        <v>68</v>
      </c>
      <c r="C60" s="4">
        <f>SUM(C61:C61)</f>
        <v>-116010.1</v>
      </c>
      <c r="D60" s="4">
        <f>SUM(D61:D61)</f>
        <v>30000</v>
      </c>
      <c r="E60" s="4">
        <f>SUM(E61:E61)</f>
        <v>30000</v>
      </c>
      <c r="F60" s="4">
        <f t="shared" si="0"/>
        <v>146010.1</v>
      </c>
      <c r="G60" s="4">
        <f t="shared" si="1"/>
        <v>0</v>
      </c>
      <c r="H60" s="4">
        <f>SUM(H61:H61)</f>
        <v>30000</v>
      </c>
      <c r="I60" s="4">
        <f>SUM(I61:I61)</f>
        <v>30000</v>
      </c>
      <c r="J60" s="4">
        <f>SUM(J61:J61)</f>
        <v>700000</v>
      </c>
    </row>
    <row r="61" spans="1:10" ht="18" customHeight="1" outlineLevel="1">
      <c r="A61" s="21" t="s">
        <v>69</v>
      </c>
      <c r="B61" s="6" t="s">
        <v>70</v>
      </c>
      <c r="C61" s="7">
        <v>-116010.1</v>
      </c>
      <c r="D61" s="7">
        <v>30000</v>
      </c>
      <c r="E61" s="7">
        <v>30000</v>
      </c>
      <c r="F61" s="7">
        <f t="shared" si="0"/>
        <v>146010.1</v>
      </c>
      <c r="G61" s="7">
        <f t="shared" si="1"/>
        <v>0</v>
      </c>
      <c r="H61" s="7">
        <v>30000</v>
      </c>
      <c r="I61" s="7">
        <v>30000</v>
      </c>
      <c r="J61" s="7">
        <f>300000+400000</f>
        <v>700000</v>
      </c>
    </row>
    <row r="62" spans="1:10" s="5" customFormat="1" ht="30" customHeight="1">
      <c r="A62" s="3" t="s">
        <v>71</v>
      </c>
      <c r="B62" s="13" t="s">
        <v>72</v>
      </c>
      <c r="C62" s="4">
        <f>C63+C65</f>
        <v>652304.47</v>
      </c>
      <c r="D62" s="4">
        <f>D63+D65</f>
        <v>605607</v>
      </c>
      <c r="E62" s="4">
        <f>E63+E65</f>
        <v>584899</v>
      </c>
      <c r="F62" s="4">
        <f t="shared" si="0"/>
        <v>-67405.469999999972</v>
      </c>
      <c r="G62" s="4">
        <f t="shared" si="1"/>
        <v>-20708</v>
      </c>
      <c r="H62" s="4">
        <f>H63+H65</f>
        <v>608295</v>
      </c>
      <c r="I62" s="4">
        <f>I63+I65</f>
        <v>566996.22</v>
      </c>
      <c r="J62" s="4">
        <f>J63+J65</f>
        <v>4202912.91</v>
      </c>
    </row>
    <row r="63" spans="1:10" s="5" customFormat="1" ht="18" customHeight="1" outlineLevel="1">
      <c r="A63" s="3" t="s">
        <v>73</v>
      </c>
      <c r="B63" s="13" t="s">
        <v>74</v>
      </c>
      <c r="C63" s="4">
        <f>C64</f>
        <v>500341.17</v>
      </c>
      <c r="D63" s="4">
        <f>D64</f>
        <v>0</v>
      </c>
      <c r="E63" s="4">
        <f>E64</f>
        <v>0</v>
      </c>
      <c r="F63" s="4">
        <f t="shared" si="0"/>
        <v>-500341.17</v>
      </c>
      <c r="G63" s="4">
        <f t="shared" si="1"/>
        <v>0</v>
      </c>
      <c r="H63" s="4">
        <f>H64</f>
        <v>0</v>
      </c>
      <c r="I63" s="4">
        <f>I64</f>
        <v>0</v>
      </c>
      <c r="J63" s="4">
        <f>J64</f>
        <v>527161.51</v>
      </c>
    </row>
    <row r="64" spans="1:10" ht="46.5" customHeight="1" outlineLevel="1">
      <c r="A64" s="21" t="s">
        <v>254</v>
      </c>
      <c r="B64" s="6" t="s">
        <v>253</v>
      </c>
      <c r="C64" s="7">
        <v>500341.17</v>
      </c>
      <c r="D64" s="7"/>
      <c r="E64" s="7"/>
      <c r="F64" s="7">
        <f t="shared" si="0"/>
        <v>-500341.17</v>
      </c>
      <c r="G64" s="7">
        <f t="shared" si="1"/>
        <v>0</v>
      </c>
      <c r="H64" s="7"/>
      <c r="I64" s="7"/>
      <c r="J64" s="7">
        <v>527161.51</v>
      </c>
    </row>
    <row r="65" spans="1:10" s="5" customFormat="1" ht="18" customHeight="1" outlineLevel="1">
      <c r="A65" s="3" t="s">
        <v>75</v>
      </c>
      <c r="B65" s="13" t="s">
        <v>76</v>
      </c>
      <c r="C65" s="4">
        <f>SUM(C66:C67)</f>
        <v>151963.29999999999</v>
      </c>
      <c r="D65" s="4">
        <f t="shared" ref="D65:E65" si="8">SUM(D66:D67)</f>
        <v>605607</v>
      </c>
      <c r="E65" s="4">
        <f t="shared" si="8"/>
        <v>584899</v>
      </c>
      <c r="F65" s="4">
        <f t="shared" si="0"/>
        <v>432935.7</v>
      </c>
      <c r="G65" s="4">
        <f t="shared" si="1"/>
        <v>-20708</v>
      </c>
      <c r="H65" s="4">
        <f t="shared" ref="H65:J65" si="9">SUM(H66:H67)</f>
        <v>608295</v>
      </c>
      <c r="I65" s="4">
        <f t="shared" si="9"/>
        <v>566996.22</v>
      </c>
      <c r="J65" s="4">
        <f t="shared" si="9"/>
        <v>3675751.4</v>
      </c>
    </row>
    <row r="66" spans="1:10" ht="50.25" hidden="1" customHeight="1" outlineLevel="1">
      <c r="A66" s="21" t="s">
        <v>127</v>
      </c>
      <c r="B66" s="6" t="s">
        <v>128</v>
      </c>
      <c r="C66" s="7"/>
      <c r="D66" s="7"/>
      <c r="E66" s="7"/>
      <c r="F66" s="7">
        <f t="shared" si="0"/>
        <v>0</v>
      </c>
      <c r="G66" s="7">
        <f t="shared" si="1"/>
        <v>0</v>
      </c>
      <c r="H66" s="7"/>
      <c r="I66" s="7"/>
      <c r="J66" s="7"/>
    </row>
    <row r="67" spans="1:10" ht="35.25" customHeight="1" outlineLevel="1">
      <c r="A67" s="21" t="s">
        <v>77</v>
      </c>
      <c r="B67" s="6" t="s">
        <v>221</v>
      </c>
      <c r="C67" s="7">
        <v>151963.29999999999</v>
      </c>
      <c r="D67" s="7">
        <v>605607</v>
      </c>
      <c r="E67" s="7">
        <v>584899</v>
      </c>
      <c r="F67" s="7">
        <f t="shared" si="0"/>
        <v>432935.7</v>
      </c>
      <c r="G67" s="7">
        <f t="shared" si="1"/>
        <v>-20708</v>
      </c>
      <c r="H67" s="7">
        <v>608295</v>
      </c>
      <c r="I67" s="7">
        <v>566996.22</v>
      </c>
      <c r="J67" s="7">
        <f>71800+3603951.4</f>
        <v>3675751.4</v>
      </c>
    </row>
    <row r="68" spans="1:10" s="5" customFormat="1" ht="31.5">
      <c r="A68" s="3" t="s">
        <v>78</v>
      </c>
      <c r="B68" s="13" t="s">
        <v>79</v>
      </c>
      <c r="C68" s="4">
        <f>C69+C70</f>
        <v>1711044.95</v>
      </c>
      <c r="D68" s="4">
        <f>D69+D70</f>
        <v>4353000</v>
      </c>
      <c r="E68" s="4">
        <f>E69+E70</f>
        <v>1950000</v>
      </c>
      <c r="F68" s="4">
        <f t="shared" si="0"/>
        <v>238955.05000000005</v>
      </c>
      <c r="G68" s="4">
        <f t="shared" si="1"/>
        <v>-2403000</v>
      </c>
      <c r="H68" s="4">
        <f>H69+H70</f>
        <v>1450000</v>
      </c>
      <c r="I68" s="4">
        <f>I69+I70</f>
        <v>1250000</v>
      </c>
      <c r="J68" s="4" t="e">
        <f>J69+J70+#REF!</f>
        <v>#REF!</v>
      </c>
    </row>
    <row r="69" spans="1:10" ht="126" outlineLevel="1">
      <c r="A69" s="21" t="s">
        <v>191</v>
      </c>
      <c r="B69" s="6" t="s">
        <v>226</v>
      </c>
      <c r="C69" s="7">
        <v>1064000</v>
      </c>
      <c r="D69" s="7">
        <v>3700000</v>
      </c>
      <c r="E69" s="7">
        <v>1600000</v>
      </c>
      <c r="F69" s="7">
        <f t="shared" si="0"/>
        <v>536000</v>
      </c>
      <c r="G69" s="7">
        <f t="shared" si="1"/>
        <v>-2100000</v>
      </c>
      <c r="H69" s="7">
        <v>1200000</v>
      </c>
      <c r="I69" s="7">
        <v>1000000</v>
      </c>
      <c r="J69" s="7">
        <f>3500000+2500000</f>
        <v>6000000</v>
      </c>
    </row>
    <row r="70" spans="1:10" s="5" customFormat="1" ht="47.25" outlineLevel="1">
      <c r="A70" s="3" t="s">
        <v>80</v>
      </c>
      <c r="B70" s="13" t="s">
        <v>81</v>
      </c>
      <c r="C70" s="4">
        <f>SUM(C71:C73)</f>
        <v>647044.94999999995</v>
      </c>
      <c r="D70" s="4">
        <f>SUM(D71:D73)</f>
        <v>653000</v>
      </c>
      <c r="E70" s="4">
        <f>SUM(E71:E73)</f>
        <v>350000</v>
      </c>
      <c r="F70" s="4">
        <f t="shared" si="0"/>
        <v>-297044.94999999995</v>
      </c>
      <c r="G70" s="4">
        <f t="shared" si="1"/>
        <v>-303000</v>
      </c>
      <c r="H70" s="4">
        <f>SUM(H71:H73)</f>
        <v>250000</v>
      </c>
      <c r="I70" s="4">
        <f>SUM(I71:I73)</f>
        <v>250000</v>
      </c>
      <c r="J70" s="4">
        <f>SUM(J71:J73)</f>
        <v>1837050</v>
      </c>
    </row>
    <row r="71" spans="1:10" ht="64.5" customHeight="1" outlineLevel="1">
      <c r="A71" s="21" t="s">
        <v>192</v>
      </c>
      <c r="B71" s="6" t="s">
        <v>227</v>
      </c>
      <c r="C71" s="7">
        <v>596584.09</v>
      </c>
      <c r="D71" s="7">
        <v>550000</v>
      </c>
      <c r="E71" s="7">
        <v>300000</v>
      </c>
      <c r="F71" s="7">
        <f t="shared" si="0"/>
        <v>-296584.08999999997</v>
      </c>
      <c r="G71" s="7">
        <f t="shared" si="1"/>
        <v>-250000</v>
      </c>
      <c r="H71" s="7">
        <v>200000</v>
      </c>
      <c r="I71" s="7">
        <v>200000</v>
      </c>
      <c r="J71" s="7">
        <f>4177460-3377460</f>
        <v>800000</v>
      </c>
    </row>
    <row r="72" spans="1:10" ht="79.5" customHeight="1" outlineLevel="1">
      <c r="A72" s="21" t="s">
        <v>193</v>
      </c>
      <c r="B72" s="6" t="s">
        <v>82</v>
      </c>
      <c r="C72" s="7"/>
      <c r="D72" s="7"/>
      <c r="E72" s="7"/>
      <c r="F72" s="7">
        <f t="shared" si="0"/>
        <v>0</v>
      </c>
      <c r="G72" s="7">
        <f t="shared" si="1"/>
        <v>0</v>
      </c>
      <c r="H72" s="7"/>
      <c r="I72" s="7"/>
      <c r="J72" s="7">
        <v>530000</v>
      </c>
    </row>
    <row r="73" spans="1:10" ht="109.5" customHeight="1" outlineLevel="1">
      <c r="A73" s="21" t="s">
        <v>194</v>
      </c>
      <c r="B73" s="6" t="s">
        <v>83</v>
      </c>
      <c r="C73" s="7">
        <v>50460.86</v>
      </c>
      <c r="D73" s="7">
        <v>103000</v>
      </c>
      <c r="E73" s="7">
        <v>50000</v>
      </c>
      <c r="F73" s="7">
        <f t="shared" si="0"/>
        <v>-460.86000000000058</v>
      </c>
      <c r="G73" s="7">
        <f t="shared" si="1"/>
        <v>-53000</v>
      </c>
      <c r="H73" s="7">
        <v>50000</v>
      </c>
      <c r="I73" s="7">
        <v>50000</v>
      </c>
      <c r="J73" s="7">
        <v>507050</v>
      </c>
    </row>
    <row r="74" spans="1:10" s="5" customFormat="1" ht="34.5" customHeight="1">
      <c r="A74" s="3" t="s">
        <v>84</v>
      </c>
      <c r="B74" s="13" t="s">
        <v>85</v>
      </c>
      <c r="C74" s="4">
        <f>C75+C85+C87+C90+C93</f>
        <v>2702746.16</v>
      </c>
      <c r="D74" s="4">
        <f>D75+D85+D87+D90+D93</f>
        <v>1200000</v>
      </c>
      <c r="E74" s="4">
        <f>E75+E85+E87+E90</f>
        <v>1000000</v>
      </c>
      <c r="F74" s="4">
        <f t="shared" si="0"/>
        <v>-1702746.1600000001</v>
      </c>
      <c r="G74" s="4">
        <f t="shared" si="1"/>
        <v>-200000</v>
      </c>
      <c r="H74" s="4">
        <f>H75+H85+H87+H90+H93</f>
        <v>1000000</v>
      </c>
      <c r="I74" s="4">
        <f>I75+I85+I87+I90+I93</f>
        <v>1100000</v>
      </c>
      <c r="J74" s="4">
        <f>J75+J85+J87+J90+J93</f>
        <v>4042421.4</v>
      </c>
    </row>
    <row r="75" spans="1:10" s="5" customFormat="1" ht="47.25" outlineLevel="1">
      <c r="A75" s="3" t="s">
        <v>86</v>
      </c>
      <c r="B75" s="13" t="s">
        <v>87</v>
      </c>
      <c r="C75" s="4">
        <f>C76+C77+C78+C79+C80+C81+C82+C83+C84</f>
        <v>107854</v>
      </c>
      <c r="D75" s="4">
        <f>D77+D78+D79+D80+D81+D82+D83+D84</f>
        <v>79000</v>
      </c>
      <c r="E75" s="4">
        <f>E77+E78+E79+E80+E81+E82+E83+E84</f>
        <v>79000</v>
      </c>
      <c r="F75" s="4">
        <f t="shared" si="0"/>
        <v>-28854</v>
      </c>
      <c r="G75" s="4">
        <f t="shared" si="1"/>
        <v>0</v>
      </c>
      <c r="H75" s="4">
        <f>SUM(H77:H82)</f>
        <v>44000</v>
      </c>
      <c r="I75" s="4">
        <f>SUM(I77:I82)</f>
        <v>34000</v>
      </c>
      <c r="J75" s="4">
        <f>SUM(J77:J82)</f>
        <v>1114069.3999999999</v>
      </c>
    </row>
    <row r="76" spans="1:10" s="5" customFormat="1" ht="110.25" outlineLevel="1">
      <c r="A76" s="21" t="s">
        <v>251</v>
      </c>
      <c r="B76" s="6" t="s">
        <v>252</v>
      </c>
      <c r="C76" s="4">
        <v>1559.12</v>
      </c>
      <c r="D76" s="4"/>
      <c r="E76" s="4"/>
      <c r="F76" s="4"/>
      <c r="G76" s="4"/>
      <c r="H76" s="4"/>
      <c r="I76" s="4"/>
      <c r="J76" s="4"/>
    </row>
    <row r="77" spans="1:10" ht="144.75" customHeight="1" outlineLevel="1">
      <c r="A77" s="21" t="s">
        <v>88</v>
      </c>
      <c r="B77" s="6" t="s">
        <v>89</v>
      </c>
      <c r="C77" s="7">
        <v>22899.85</v>
      </c>
      <c r="D77" s="7">
        <v>14000</v>
      </c>
      <c r="E77" s="7">
        <v>14000</v>
      </c>
      <c r="F77" s="7">
        <f t="shared" si="0"/>
        <v>-8899.8499999999985</v>
      </c>
      <c r="G77" s="7">
        <f t="shared" si="1"/>
        <v>0</v>
      </c>
      <c r="H77" s="7">
        <v>14000</v>
      </c>
      <c r="I77" s="7">
        <v>14000</v>
      </c>
      <c r="J77" s="7">
        <f>24600+107373</f>
        <v>131973</v>
      </c>
    </row>
    <row r="78" spans="1:10" ht="111.75" customHeight="1" outlineLevel="1">
      <c r="A78" s="21" t="s">
        <v>156</v>
      </c>
      <c r="B78" s="6" t="s">
        <v>155</v>
      </c>
      <c r="C78" s="7">
        <v>1298.54</v>
      </c>
      <c r="D78" s="7"/>
      <c r="E78" s="7"/>
      <c r="F78" s="7">
        <f t="shared" ref="F78" si="10">E78-C78</f>
        <v>-1298.54</v>
      </c>
      <c r="G78" s="7">
        <f t="shared" ref="G78" si="11">E78-D78</f>
        <v>0</v>
      </c>
      <c r="H78" s="7"/>
      <c r="I78" s="7"/>
      <c r="J78" s="7">
        <v>2400</v>
      </c>
    </row>
    <row r="79" spans="1:10" ht="130.5" customHeight="1" outlineLevel="1">
      <c r="A79" s="21" t="s">
        <v>90</v>
      </c>
      <c r="B79" s="6" t="s">
        <v>91</v>
      </c>
      <c r="C79" s="7">
        <v>3043.89</v>
      </c>
      <c r="D79" s="7"/>
      <c r="E79" s="7"/>
      <c r="F79" s="7">
        <f t="shared" si="0"/>
        <v>-3043.89</v>
      </c>
      <c r="G79" s="7">
        <f t="shared" si="1"/>
        <v>0</v>
      </c>
      <c r="H79" s="7"/>
      <c r="I79" s="7"/>
      <c r="J79" s="7">
        <f>56460+114120</f>
        <v>170580</v>
      </c>
    </row>
    <row r="80" spans="1:10" ht="163.5" customHeight="1" outlineLevel="1">
      <c r="A80" s="21" t="s">
        <v>92</v>
      </c>
      <c r="B80" s="6" t="s">
        <v>93</v>
      </c>
      <c r="C80" s="7">
        <v>2208.33</v>
      </c>
      <c r="D80" s="7"/>
      <c r="E80" s="7"/>
      <c r="F80" s="7">
        <f t="shared" ref="F80:F137" si="12">E80-C80</f>
        <v>-2208.33</v>
      </c>
      <c r="G80" s="7">
        <f t="shared" ref="G80:G137" si="13">E80-D80</f>
        <v>0</v>
      </c>
      <c r="H80" s="7"/>
      <c r="I80" s="7"/>
      <c r="J80" s="7">
        <f>1080+10850</f>
        <v>11930</v>
      </c>
    </row>
    <row r="81" spans="1:10" ht="113.25" customHeight="1" outlineLevel="1">
      <c r="A81" s="21" t="s">
        <v>94</v>
      </c>
      <c r="B81" s="6" t="s">
        <v>95</v>
      </c>
      <c r="C81" s="7">
        <v>1283.83</v>
      </c>
      <c r="D81" s="7"/>
      <c r="E81" s="7"/>
      <c r="F81" s="7">
        <f t="shared" si="12"/>
        <v>-1283.83</v>
      </c>
      <c r="G81" s="7">
        <f t="shared" si="13"/>
        <v>0</v>
      </c>
      <c r="H81" s="7"/>
      <c r="I81" s="7"/>
      <c r="J81" s="7">
        <f>228000+127106.4</f>
        <v>355106.4</v>
      </c>
    </row>
    <row r="82" spans="1:10" ht="126" customHeight="1" outlineLevel="1">
      <c r="A82" s="21" t="s">
        <v>96</v>
      </c>
      <c r="B82" s="6" t="s">
        <v>97</v>
      </c>
      <c r="C82" s="7">
        <v>75560.44</v>
      </c>
      <c r="D82" s="7">
        <v>50000</v>
      </c>
      <c r="E82" s="7">
        <v>50000</v>
      </c>
      <c r="F82" s="7">
        <f t="shared" si="12"/>
        <v>-25560.440000000002</v>
      </c>
      <c r="G82" s="7">
        <f t="shared" si="13"/>
        <v>0</v>
      </c>
      <c r="H82" s="7">
        <v>30000</v>
      </c>
      <c r="I82" s="7">
        <v>20000</v>
      </c>
      <c r="J82" s="7">
        <f>52080+390000</f>
        <v>442080</v>
      </c>
    </row>
    <row r="83" spans="1:10" ht="143.25" customHeight="1" outlineLevel="1">
      <c r="A83" s="21" t="s">
        <v>236</v>
      </c>
      <c r="B83" s="6" t="s">
        <v>237</v>
      </c>
      <c r="C83" s="7"/>
      <c r="D83" s="7">
        <v>5000</v>
      </c>
      <c r="E83" s="7">
        <v>5000</v>
      </c>
      <c r="F83" s="7">
        <f t="shared" si="12"/>
        <v>5000</v>
      </c>
      <c r="G83" s="7">
        <f t="shared" si="13"/>
        <v>0</v>
      </c>
      <c r="H83" s="7"/>
      <c r="I83" s="7"/>
      <c r="J83" s="7"/>
    </row>
    <row r="84" spans="1:10" ht="126" customHeight="1" outlineLevel="1">
      <c r="A84" s="21" t="s">
        <v>235</v>
      </c>
      <c r="B84" s="6" t="s">
        <v>97</v>
      </c>
      <c r="C84" s="7"/>
      <c r="D84" s="7">
        <v>10000</v>
      </c>
      <c r="E84" s="7">
        <v>10000</v>
      </c>
      <c r="F84" s="7">
        <f t="shared" si="12"/>
        <v>10000</v>
      </c>
      <c r="G84" s="7">
        <f t="shared" si="13"/>
        <v>0</v>
      </c>
      <c r="H84" s="7"/>
      <c r="I84" s="7"/>
      <c r="J84" s="7"/>
    </row>
    <row r="85" spans="1:10" s="5" customFormat="1" ht="47.25" outlineLevel="1">
      <c r="A85" s="3" t="s">
        <v>98</v>
      </c>
      <c r="B85" s="13" t="s">
        <v>99</v>
      </c>
      <c r="C85" s="4">
        <f>C86</f>
        <v>138666.81</v>
      </c>
      <c r="D85" s="4">
        <f>D86</f>
        <v>120000</v>
      </c>
      <c r="E85" s="4">
        <f>E86</f>
        <v>145000</v>
      </c>
      <c r="F85" s="4">
        <f t="shared" si="12"/>
        <v>6333.1900000000023</v>
      </c>
      <c r="G85" s="4">
        <f t="shared" si="13"/>
        <v>25000</v>
      </c>
      <c r="H85" s="4">
        <f>H86</f>
        <v>150000</v>
      </c>
      <c r="I85" s="4">
        <f>I86</f>
        <v>150000</v>
      </c>
      <c r="J85" s="4">
        <f>J86</f>
        <v>222660</v>
      </c>
    </row>
    <row r="86" spans="1:10" ht="65.25" customHeight="1" outlineLevel="1">
      <c r="A86" s="21" t="s">
        <v>100</v>
      </c>
      <c r="B86" s="6" t="s">
        <v>101</v>
      </c>
      <c r="C86" s="7">
        <v>138666.81</v>
      </c>
      <c r="D86" s="7">
        <v>120000</v>
      </c>
      <c r="E86" s="7">
        <v>145000</v>
      </c>
      <c r="F86" s="7">
        <f t="shared" si="12"/>
        <v>6333.1900000000023</v>
      </c>
      <c r="G86" s="7">
        <f t="shared" si="13"/>
        <v>25000</v>
      </c>
      <c r="H86" s="7">
        <v>150000</v>
      </c>
      <c r="I86" s="7">
        <v>150000</v>
      </c>
      <c r="J86" s="7">
        <f>228800-6140</f>
        <v>222660</v>
      </c>
    </row>
    <row r="87" spans="1:10" s="5" customFormat="1" ht="143.25" customHeight="1" outlineLevel="1">
      <c r="A87" s="3" t="s">
        <v>139</v>
      </c>
      <c r="B87" s="13" t="s">
        <v>102</v>
      </c>
      <c r="C87" s="4">
        <f>SUM(C88:C89)</f>
        <v>1380785.47</v>
      </c>
      <c r="D87" s="4">
        <f>SUM(D88:D89)</f>
        <v>76000</v>
      </c>
      <c r="E87" s="4">
        <f>SUM(E88:E89)</f>
        <v>76000</v>
      </c>
      <c r="F87" s="4">
        <f t="shared" si="12"/>
        <v>-1304785.47</v>
      </c>
      <c r="G87" s="4">
        <f t="shared" si="13"/>
        <v>0</v>
      </c>
      <c r="H87" s="4">
        <f>SUM(H88:H89)</f>
        <v>90000</v>
      </c>
      <c r="I87" s="4">
        <f>SUM(I88:I89)</f>
        <v>80000</v>
      </c>
      <c r="J87" s="4">
        <f>SUM(J88:J89)</f>
        <v>646582</v>
      </c>
    </row>
    <row r="88" spans="1:10" ht="99" customHeight="1" outlineLevel="1">
      <c r="A88" s="21" t="s">
        <v>176</v>
      </c>
      <c r="B88" s="6" t="s">
        <v>103</v>
      </c>
      <c r="C88" s="7">
        <v>1360768.04</v>
      </c>
      <c r="D88" s="7">
        <v>41000</v>
      </c>
      <c r="E88" s="7">
        <v>41000</v>
      </c>
      <c r="F88" s="7">
        <f t="shared" si="12"/>
        <v>-1319768.04</v>
      </c>
      <c r="G88" s="7">
        <f t="shared" si="13"/>
        <v>0</v>
      </c>
      <c r="H88" s="7">
        <v>50000</v>
      </c>
      <c r="I88" s="7">
        <v>40000</v>
      </c>
      <c r="J88" s="7">
        <f>8682+115000</f>
        <v>123682</v>
      </c>
    </row>
    <row r="89" spans="1:10" ht="99" customHeight="1" outlineLevel="1">
      <c r="A89" s="21" t="s">
        <v>177</v>
      </c>
      <c r="B89" s="6" t="s">
        <v>104</v>
      </c>
      <c r="C89" s="7">
        <v>20017.43</v>
      </c>
      <c r="D89" s="7">
        <v>35000</v>
      </c>
      <c r="E89" s="7">
        <v>35000</v>
      </c>
      <c r="F89" s="7">
        <f t="shared" si="12"/>
        <v>14982.57</v>
      </c>
      <c r="G89" s="7">
        <f t="shared" si="13"/>
        <v>0</v>
      </c>
      <c r="H89" s="7">
        <v>40000</v>
      </c>
      <c r="I89" s="7">
        <v>40000</v>
      </c>
      <c r="J89" s="7">
        <v>522900</v>
      </c>
    </row>
    <row r="90" spans="1:10" s="5" customFormat="1" ht="34.5" customHeight="1" outlineLevel="1">
      <c r="A90" s="3" t="s">
        <v>105</v>
      </c>
      <c r="B90" s="13" t="s">
        <v>106</v>
      </c>
      <c r="C90" s="4">
        <f>SUM(C91:C92)</f>
        <v>67404.83</v>
      </c>
      <c r="D90" s="4">
        <f>SUM(D91:D92)</f>
        <v>40000</v>
      </c>
      <c r="E90" s="4">
        <f>E91+E92+E93</f>
        <v>700000</v>
      </c>
      <c r="F90" s="4">
        <f t="shared" si="12"/>
        <v>632595.17000000004</v>
      </c>
      <c r="G90" s="4">
        <f t="shared" si="13"/>
        <v>660000</v>
      </c>
      <c r="H90" s="4">
        <f>SUM(H91:H92)</f>
        <v>50000</v>
      </c>
      <c r="I90" s="4">
        <f>SUM(I91:I92)</f>
        <v>50000</v>
      </c>
      <c r="J90" s="4">
        <f>SUM(J91:J92)</f>
        <v>1392950</v>
      </c>
    </row>
    <row r="91" spans="1:10" ht="99" customHeight="1" outlineLevel="1">
      <c r="A91" s="21" t="s">
        <v>107</v>
      </c>
      <c r="B91" s="6" t="s">
        <v>108</v>
      </c>
      <c r="C91" s="7">
        <v>67404.83</v>
      </c>
      <c r="D91" s="7">
        <v>40000</v>
      </c>
      <c r="E91" s="7">
        <v>40000</v>
      </c>
      <c r="F91" s="7">
        <f t="shared" si="12"/>
        <v>-27404.83</v>
      </c>
      <c r="G91" s="7">
        <f t="shared" si="13"/>
        <v>0</v>
      </c>
      <c r="H91" s="7">
        <v>50000</v>
      </c>
      <c r="I91" s="7">
        <v>50000</v>
      </c>
      <c r="J91" s="7">
        <f>781400+590000</f>
        <v>1371400</v>
      </c>
    </row>
    <row r="92" spans="1:10" ht="99" customHeight="1" outlineLevel="1">
      <c r="A92" s="21" t="s">
        <v>109</v>
      </c>
      <c r="B92" s="6" t="s">
        <v>147</v>
      </c>
      <c r="C92" s="7"/>
      <c r="D92" s="7"/>
      <c r="E92" s="7"/>
      <c r="F92" s="7">
        <f t="shared" si="12"/>
        <v>0</v>
      </c>
      <c r="G92" s="7">
        <f t="shared" si="13"/>
        <v>0</v>
      </c>
      <c r="H92" s="7"/>
      <c r="I92" s="7"/>
      <c r="J92" s="7">
        <f>103000-81450</f>
        <v>21550</v>
      </c>
    </row>
    <row r="93" spans="1:10" ht="31.5" outlineLevel="1">
      <c r="A93" s="3" t="s">
        <v>153</v>
      </c>
      <c r="B93" s="13" t="s">
        <v>154</v>
      </c>
      <c r="C93" s="4">
        <f>C94</f>
        <v>1008035.05</v>
      </c>
      <c r="D93" s="4">
        <f>D94</f>
        <v>885000</v>
      </c>
      <c r="E93" s="4">
        <f t="shared" ref="E93" si="14">E94</f>
        <v>660000</v>
      </c>
      <c r="F93" s="7">
        <f t="shared" si="12"/>
        <v>-348035.05000000005</v>
      </c>
      <c r="G93" s="7">
        <f t="shared" si="13"/>
        <v>-225000</v>
      </c>
      <c r="H93" s="4">
        <f t="shared" ref="H93:I93" si="15">H94</f>
        <v>666000</v>
      </c>
      <c r="I93" s="4">
        <f t="shared" si="15"/>
        <v>786000</v>
      </c>
      <c r="J93" s="4">
        <f>J94</f>
        <v>666160</v>
      </c>
    </row>
    <row r="94" spans="1:10" ht="157.5" outlineLevel="1">
      <c r="A94" s="21" t="s">
        <v>151</v>
      </c>
      <c r="B94" s="6" t="s">
        <v>152</v>
      </c>
      <c r="C94" s="7">
        <v>1008035.05</v>
      </c>
      <c r="D94" s="7">
        <v>885000</v>
      </c>
      <c r="E94" s="7">
        <v>660000</v>
      </c>
      <c r="F94" s="7">
        <f t="shared" si="12"/>
        <v>-348035.05000000005</v>
      </c>
      <c r="G94" s="7">
        <f t="shared" si="13"/>
        <v>-225000</v>
      </c>
      <c r="H94" s="7">
        <v>666000</v>
      </c>
      <c r="I94" s="7">
        <v>786000</v>
      </c>
      <c r="J94" s="7">
        <v>666160</v>
      </c>
    </row>
    <row r="95" spans="1:10" s="5" customFormat="1" ht="16.5" customHeight="1">
      <c r="A95" s="3" t="s">
        <v>110</v>
      </c>
      <c r="B95" s="13" t="s">
        <v>111</v>
      </c>
      <c r="C95" s="4">
        <f>C96+C97</f>
        <v>280941.50999999995</v>
      </c>
      <c r="D95" s="4">
        <f>SUM(D97:D97)</f>
        <v>300000</v>
      </c>
      <c r="E95" s="4">
        <v>200000</v>
      </c>
      <c r="F95" s="4">
        <f t="shared" si="12"/>
        <v>-80941.509999999951</v>
      </c>
      <c r="G95" s="4">
        <f t="shared" si="13"/>
        <v>-100000</v>
      </c>
      <c r="H95" s="4">
        <v>100000</v>
      </c>
      <c r="I95" s="4">
        <f>SUM(I97:I97)</f>
        <v>100000</v>
      </c>
      <c r="J95" s="4">
        <f>SUM(J97:J97)</f>
        <v>6256210</v>
      </c>
    </row>
    <row r="96" spans="1:10" s="5" customFormat="1" ht="16.5" customHeight="1">
      <c r="A96" s="21" t="s">
        <v>255</v>
      </c>
      <c r="B96" s="6" t="s">
        <v>257</v>
      </c>
      <c r="C96" s="7">
        <v>15209.1</v>
      </c>
      <c r="D96" s="4"/>
      <c r="E96" s="4"/>
      <c r="F96" s="4"/>
      <c r="G96" s="4"/>
      <c r="H96" s="4"/>
      <c r="I96" s="4"/>
      <c r="J96" s="4"/>
    </row>
    <row r="97" spans="1:10" ht="32.25" customHeight="1" outlineLevel="1">
      <c r="A97" s="21" t="s">
        <v>256</v>
      </c>
      <c r="B97" s="6" t="s">
        <v>112</v>
      </c>
      <c r="C97" s="7">
        <v>265732.40999999997</v>
      </c>
      <c r="D97" s="7">
        <v>300000</v>
      </c>
      <c r="E97" s="7">
        <v>300000</v>
      </c>
      <c r="F97" s="7">
        <f t="shared" si="12"/>
        <v>34267.590000000026</v>
      </c>
      <c r="G97" s="7">
        <f t="shared" si="13"/>
        <v>0</v>
      </c>
      <c r="H97" s="7">
        <v>100000</v>
      </c>
      <c r="I97" s="7">
        <v>100000</v>
      </c>
      <c r="J97" s="7">
        <f>SUM(J98:J100)</f>
        <v>6256210</v>
      </c>
    </row>
    <row r="98" spans="1:10" ht="47.25" hidden="1" outlineLevel="1">
      <c r="A98" s="21" t="s">
        <v>157</v>
      </c>
      <c r="B98" s="6" t="s">
        <v>160</v>
      </c>
      <c r="C98" s="7"/>
      <c r="D98" s="7"/>
      <c r="E98" s="7"/>
      <c r="F98" s="7"/>
      <c r="G98" s="7"/>
      <c r="H98" s="7"/>
      <c r="I98" s="7"/>
      <c r="J98" s="7">
        <f>1500000+220100</f>
        <v>1720100</v>
      </c>
    </row>
    <row r="99" spans="1:10" ht="78.75" hidden="1" outlineLevel="1">
      <c r="A99" s="21" t="s">
        <v>158</v>
      </c>
      <c r="B99" s="6" t="s">
        <v>161</v>
      </c>
      <c r="C99" s="7"/>
      <c r="D99" s="7"/>
      <c r="E99" s="7"/>
      <c r="F99" s="7"/>
      <c r="G99" s="7"/>
      <c r="H99" s="7"/>
      <c r="I99" s="7"/>
      <c r="J99" s="7">
        <f>260110+1576000</f>
        <v>1836110</v>
      </c>
    </row>
    <row r="100" spans="1:10" ht="63" hidden="1" outlineLevel="1">
      <c r="A100" s="21" t="s">
        <v>159</v>
      </c>
      <c r="B100" s="6" t="s">
        <v>162</v>
      </c>
      <c r="C100" s="7"/>
      <c r="D100" s="7"/>
      <c r="E100" s="7"/>
      <c r="F100" s="7"/>
      <c r="G100" s="7"/>
      <c r="H100" s="7"/>
      <c r="I100" s="7"/>
      <c r="J100" s="7">
        <v>2700000</v>
      </c>
    </row>
    <row r="101" spans="1:10" ht="14.25" customHeight="1" collapsed="1">
      <c r="A101" s="3" t="s">
        <v>113</v>
      </c>
      <c r="B101" s="13" t="s">
        <v>114</v>
      </c>
      <c r="C101" s="4">
        <f>C102+C131+C135</f>
        <v>345256922.55999994</v>
      </c>
      <c r="D101" s="4">
        <f>D102+D131+D135</f>
        <v>346775651.54000002</v>
      </c>
      <c r="E101" s="4">
        <f>E102+E131+E135</f>
        <v>465793739.89999998</v>
      </c>
      <c r="F101" s="4">
        <f t="shared" si="12"/>
        <v>120536817.34000003</v>
      </c>
      <c r="G101" s="4">
        <f t="shared" si="13"/>
        <v>119018088.35999995</v>
      </c>
      <c r="H101" s="4">
        <f>H102+H131+H135</f>
        <v>394884288</v>
      </c>
      <c r="I101" s="4">
        <f>I102+I131+I135</f>
        <v>400905946.64999998</v>
      </c>
      <c r="J101" s="4">
        <f>J102+J131+J135</f>
        <v>789607887.96000004</v>
      </c>
    </row>
    <row r="102" spans="1:10" ht="47.25">
      <c r="A102" s="3" t="s">
        <v>115</v>
      </c>
      <c r="B102" s="13" t="s">
        <v>116</v>
      </c>
      <c r="C102" s="4">
        <f>C103+C107+C117+C129</f>
        <v>345920112.40999997</v>
      </c>
      <c r="D102" s="4">
        <f>D103+D107+D117+D129</f>
        <v>346775651.54000002</v>
      </c>
      <c r="E102" s="4">
        <f>E103+E107+E117+E129</f>
        <v>465793739.89999998</v>
      </c>
      <c r="F102" s="4">
        <f t="shared" si="12"/>
        <v>119873627.49000001</v>
      </c>
      <c r="G102" s="4">
        <f t="shared" si="13"/>
        <v>119018088.35999995</v>
      </c>
      <c r="H102" s="4">
        <f>H103+H107+H117+H129</f>
        <v>394884288</v>
      </c>
      <c r="I102" s="4">
        <f>I103+I107+I117+I129</f>
        <v>400905946.64999998</v>
      </c>
      <c r="J102" s="4">
        <f>J103+J107+J117+J129</f>
        <v>789607887.96000004</v>
      </c>
    </row>
    <row r="103" spans="1:10" ht="31.5">
      <c r="A103" s="3" t="s">
        <v>117</v>
      </c>
      <c r="B103" s="13" t="s">
        <v>118</v>
      </c>
      <c r="C103" s="4">
        <f>C105+C106</f>
        <v>32166000.41</v>
      </c>
      <c r="D103" s="4">
        <f>D105+D106</f>
        <v>68436713.930000007</v>
      </c>
      <c r="E103" s="4">
        <f>E105+E106+E104</f>
        <v>190737208</v>
      </c>
      <c r="F103" s="4">
        <f t="shared" si="12"/>
        <v>158571207.59</v>
      </c>
      <c r="G103" s="4">
        <f t="shared" si="13"/>
        <v>122300494.06999999</v>
      </c>
      <c r="H103" s="4">
        <f>H105+H106+H104</f>
        <v>138583236</v>
      </c>
      <c r="I103" s="4">
        <f>I105+I106+I104</f>
        <v>138583236</v>
      </c>
      <c r="J103" s="4">
        <f>SUM(J105:J105)</f>
        <v>33294100</v>
      </c>
    </row>
    <row r="104" spans="1:10" ht="47.25">
      <c r="A104" s="21" t="s">
        <v>238</v>
      </c>
      <c r="B104" s="6" t="s">
        <v>239</v>
      </c>
      <c r="C104" s="4"/>
      <c r="D104" s="4"/>
      <c r="E104" s="7">
        <v>190737208</v>
      </c>
      <c r="F104" s="4"/>
      <c r="G104" s="4"/>
      <c r="H104" s="7">
        <v>138583236</v>
      </c>
      <c r="I104" s="7">
        <v>138583236</v>
      </c>
      <c r="J104" s="4"/>
    </row>
    <row r="105" spans="1:10" ht="50.25" customHeight="1" outlineLevel="1">
      <c r="A105" s="21" t="s">
        <v>178</v>
      </c>
      <c r="B105" s="6" t="s">
        <v>179</v>
      </c>
      <c r="C105" s="7">
        <v>4038890</v>
      </c>
      <c r="D105" s="7">
        <v>45701713.93</v>
      </c>
      <c r="E105" s="7"/>
      <c r="F105" s="7">
        <f t="shared" si="12"/>
        <v>-4038890</v>
      </c>
      <c r="G105" s="7">
        <f t="shared" si="13"/>
        <v>-45701713.93</v>
      </c>
      <c r="H105" s="7"/>
      <c r="I105" s="7"/>
      <c r="J105" s="7">
        <v>33294100</v>
      </c>
    </row>
    <row r="106" spans="1:10" ht="30" customHeight="1" outlineLevel="1">
      <c r="A106" s="21" t="s">
        <v>181</v>
      </c>
      <c r="B106" s="6" t="s">
        <v>180</v>
      </c>
      <c r="C106" s="7">
        <v>28127110.41</v>
      </c>
      <c r="D106" s="7">
        <v>22735000</v>
      </c>
      <c r="E106" s="7"/>
      <c r="F106" s="7"/>
      <c r="G106" s="7"/>
      <c r="H106" s="7"/>
      <c r="I106" s="7"/>
      <c r="J106" s="7"/>
    </row>
    <row r="107" spans="1:10" ht="47.25">
      <c r="A107" s="3" t="s">
        <v>119</v>
      </c>
      <c r="B107" s="13" t="s">
        <v>120</v>
      </c>
      <c r="C107" s="4">
        <f>SUM(C108:C116)</f>
        <v>110992849.45999999</v>
      </c>
      <c r="D107" s="4">
        <f>D108+D109+D110+D111+D113+D116</f>
        <v>68244382.939999998</v>
      </c>
      <c r="E107" s="4">
        <f>SUM(E108:E116)</f>
        <v>30839476.040000003</v>
      </c>
      <c r="F107" s="4">
        <f t="shared" si="12"/>
        <v>-80153373.419999987</v>
      </c>
      <c r="G107" s="4">
        <f t="shared" si="13"/>
        <v>-37404906.899999991</v>
      </c>
      <c r="H107" s="4">
        <f t="shared" ref="H107:J107" si="16">SUM(H108:H116)</f>
        <v>11004536.9</v>
      </c>
      <c r="I107" s="4">
        <f t="shared" si="16"/>
        <v>11258515.969999999</v>
      </c>
      <c r="J107" s="4">
        <f t="shared" si="16"/>
        <v>135663311.18000001</v>
      </c>
    </row>
    <row r="108" spans="1:10" ht="157.5">
      <c r="A108" s="21" t="s">
        <v>182</v>
      </c>
      <c r="B108" s="6" t="s">
        <v>220</v>
      </c>
      <c r="C108" s="7">
        <v>3302386.36</v>
      </c>
      <c r="D108" s="7">
        <v>20206311.960000001</v>
      </c>
      <c r="E108" s="7"/>
      <c r="F108" s="7">
        <f t="shared" si="12"/>
        <v>-3302386.36</v>
      </c>
      <c r="G108" s="7">
        <f t="shared" si="13"/>
        <v>-20206311.960000001</v>
      </c>
      <c r="H108" s="7"/>
      <c r="I108" s="7"/>
      <c r="J108" s="7">
        <v>26874803.34</v>
      </c>
    </row>
    <row r="109" spans="1:10" ht="114.75" customHeight="1" outlineLevel="1">
      <c r="A109" s="21" t="s">
        <v>183</v>
      </c>
      <c r="B109" s="6" t="s">
        <v>219</v>
      </c>
      <c r="C109" s="7">
        <v>1167377.6399999999</v>
      </c>
      <c r="D109" s="7">
        <v>1340854.7</v>
      </c>
      <c r="E109" s="7"/>
      <c r="F109" s="7">
        <f t="shared" si="12"/>
        <v>-1167377.6399999999</v>
      </c>
      <c r="G109" s="7">
        <f t="shared" si="13"/>
        <v>-1340854.7</v>
      </c>
      <c r="H109" s="7"/>
      <c r="I109" s="7"/>
      <c r="J109" s="7">
        <v>4697746.99</v>
      </c>
    </row>
    <row r="110" spans="1:10" ht="81.75" customHeight="1" outlineLevel="1">
      <c r="A110" s="21" t="s">
        <v>247</v>
      </c>
      <c r="B110" s="6" t="s">
        <v>248</v>
      </c>
      <c r="C110" s="7"/>
      <c r="D110" s="7">
        <v>2661775.39</v>
      </c>
      <c r="E110" s="7"/>
      <c r="F110" s="7">
        <f t="shared" si="12"/>
        <v>0</v>
      </c>
      <c r="G110" s="7">
        <f t="shared" si="13"/>
        <v>-2661775.39</v>
      </c>
      <c r="H110" s="7"/>
      <c r="I110" s="7"/>
      <c r="J110" s="7"/>
    </row>
    <row r="111" spans="1:10" ht="48.75" customHeight="1" outlineLevel="1">
      <c r="A111" s="21" t="s">
        <v>249</v>
      </c>
      <c r="B111" s="6" t="s">
        <v>250</v>
      </c>
      <c r="C111" s="7"/>
      <c r="D111" s="7">
        <v>2335000</v>
      </c>
      <c r="E111" s="7"/>
      <c r="F111" s="7">
        <f t="shared" si="12"/>
        <v>0</v>
      </c>
      <c r="G111" s="7">
        <f t="shared" si="13"/>
        <v>-2335000</v>
      </c>
      <c r="H111" s="7"/>
      <c r="I111" s="7"/>
      <c r="J111" s="7"/>
    </row>
    <row r="112" spans="1:10" ht="74.25" customHeight="1" outlineLevel="1">
      <c r="A112" s="21" t="s">
        <v>190</v>
      </c>
      <c r="B112" s="6" t="s">
        <v>228</v>
      </c>
      <c r="C112" s="7"/>
      <c r="D112" s="7"/>
      <c r="E112" s="7"/>
      <c r="F112" s="7">
        <f t="shared" si="12"/>
        <v>0</v>
      </c>
      <c r="G112" s="7"/>
      <c r="H112" s="7">
        <v>1722056.68</v>
      </c>
      <c r="I112" s="7">
        <v>1743316.64</v>
      </c>
      <c r="J112" s="7"/>
    </row>
    <row r="113" spans="1:10" ht="48.75" customHeight="1" outlineLevel="1">
      <c r="A113" s="21" t="s">
        <v>184</v>
      </c>
      <c r="B113" s="6" t="s">
        <v>218</v>
      </c>
      <c r="C113" s="7">
        <v>697000</v>
      </c>
      <c r="D113" s="7">
        <v>1768000</v>
      </c>
      <c r="E113" s="7">
        <v>1558264.1</v>
      </c>
      <c r="F113" s="7">
        <f t="shared" si="12"/>
        <v>861264.10000000009</v>
      </c>
      <c r="G113" s="7">
        <f t="shared" si="13"/>
        <v>-209735.89999999991</v>
      </c>
      <c r="H113" s="7">
        <v>1196950.1399999999</v>
      </c>
      <c r="I113" s="7">
        <v>1429669.25</v>
      </c>
      <c r="J113" s="7">
        <v>3949529</v>
      </c>
    </row>
    <row r="114" spans="1:10" ht="34.5" hidden="1" customHeight="1" outlineLevel="1">
      <c r="A114" s="21" t="s">
        <v>129</v>
      </c>
      <c r="B114" s="6" t="s">
        <v>130</v>
      </c>
      <c r="C114" s="7"/>
      <c r="D114" s="7"/>
      <c r="E114" s="7"/>
      <c r="F114" s="7">
        <f t="shared" si="12"/>
        <v>0</v>
      </c>
      <c r="G114" s="7">
        <f t="shared" si="13"/>
        <v>0</v>
      </c>
      <c r="H114" s="7"/>
      <c r="I114" s="7"/>
      <c r="J114" s="7"/>
    </row>
    <row r="115" spans="1:10" ht="47.25" customHeight="1" outlineLevel="1">
      <c r="A115" s="21" t="s">
        <v>185</v>
      </c>
      <c r="B115" s="6" t="s">
        <v>186</v>
      </c>
      <c r="C115" s="7">
        <v>1273913.69</v>
      </c>
      <c r="D115" s="7"/>
      <c r="E115" s="7"/>
      <c r="F115" s="7">
        <f t="shared" si="12"/>
        <v>-1273913.69</v>
      </c>
      <c r="G115" s="7">
        <f t="shared" si="13"/>
        <v>0</v>
      </c>
      <c r="H115" s="7"/>
      <c r="I115" s="7"/>
      <c r="J115" s="7"/>
    </row>
    <row r="116" spans="1:10" ht="18" customHeight="1" outlineLevel="1">
      <c r="A116" s="21" t="s">
        <v>206</v>
      </c>
      <c r="B116" s="6" t="s">
        <v>217</v>
      </c>
      <c r="C116" s="7">
        <v>104552171.77</v>
      </c>
      <c r="D116" s="7">
        <v>39932440.890000001</v>
      </c>
      <c r="E116" s="7">
        <v>29281211.940000001</v>
      </c>
      <c r="F116" s="7">
        <f t="shared" si="12"/>
        <v>-75270959.829999998</v>
      </c>
      <c r="G116" s="7">
        <f t="shared" si="13"/>
        <v>-10651228.949999999</v>
      </c>
      <c r="H116" s="7">
        <v>8085530.0800000001</v>
      </c>
      <c r="I116" s="7">
        <v>8085530.0800000001</v>
      </c>
      <c r="J116" s="7">
        <v>100141231.84999999</v>
      </c>
    </row>
    <row r="117" spans="1:10" ht="33" customHeight="1">
      <c r="A117" s="3" t="s">
        <v>121</v>
      </c>
      <c r="B117" s="13" t="s">
        <v>122</v>
      </c>
      <c r="C117" s="4">
        <f>SUM(C118:C128)</f>
        <v>193029146.41</v>
      </c>
      <c r="D117" s="4">
        <f>SUM(D118:D128)</f>
        <v>197858520.37</v>
      </c>
      <c r="E117" s="4">
        <f>SUM(E118:E128)</f>
        <v>224694884.36000001</v>
      </c>
      <c r="F117" s="4">
        <f t="shared" si="12"/>
        <v>31665737.950000018</v>
      </c>
      <c r="G117" s="4">
        <f t="shared" si="13"/>
        <v>26836363.99000001</v>
      </c>
      <c r="H117" s="4">
        <f>SUM(H118:H128)</f>
        <v>225774343.59999999</v>
      </c>
      <c r="I117" s="4">
        <f>SUM(I118:I128)</f>
        <v>231542023.18000001</v>
      </c>
      <c r="J117" s="4">
        <f>SUM(J118:J128)</f>
        <v>589341276.77999997</v>
      </c>
    </row>
    <row r="118" spans="1:10" ht="47.25" customHeight="1" outlineLevel="1">
      <c r="A118" s="21" t="s">
        <v>202</v>
      </c>
      <c r="B118" s="6" t="s">
        <v>216</v>
      </c>
      <c r="C118" s="7">
        <v>168077272.28999999</v>
      </c>
      <c r="D118" s="7">
        <v>181750602.37</v>
      </c>
      <c r="E118" s="7">
        <v>208708511.36000001</v>
      </c>
      <c r="F118" s="7">
        <f t="shared" si="12"/>
        <v>40631239.070000023</v>
      </c>
      <c r="G118" s="7">
        <f t="shared" si="13"/>
        <v>26957908.99000001</v>
      </c>
      <c r="H118" s="7">
        <v>209331205.59999999</v>
      </c>
      <c r="I118" s="7">
        <v>214656549.68000001</v>
      </c>
      <c r="J118" s="7">
        <v>549574509.04999995</v>
      </c>
    </row>
    <row r="119" spans="1:10" ht="96.75" customHeight="1" outlineLevel="1">
      <c r="A119" s="21" t="s">
        <v>203</v>
      </c>
      <c r="B119" s="6" t="s">
        <v>215</v>
      </c>
      <c r="C119" s="7">
        <v>1347230.12</v>
      </c>
      <c r="D119" s="7">
        <v>3359780</v>
      </c>
      <c r="E119" s="7">
        <v>2419598</v>
      </c>
      <c r="F119" s="7">
        <f t="shared" si="12"/>
        <v>1072367.8799999999</v>
      </c>
      <c r="G119" s="7">
        <f t="shared" si="13"/>
        <v>-940182</v>
      </c>
      <c r="H119" s="7">
        <v>2515771</v>
      </c>
      <c r="I119" s="7">
        <v>2616524</v>
      </c>
      <c r="J119" s="7">
        <v>10807018</v>
      </c>
    </row>
    <row r="120" spans="1:10" ht="79.5" customHeight="1" outlineLevel="1">
      <c r="A120" s="21" t="s">
        <v>204</v>
      </c>
      <c r="B120" s="6" t="s">
        <v>214</v>
      </c>
      <c r="C120" s="7">
        <v>12667872</v>
      </c>
      <c r="D120" s="7"/>
      <c r="E120" s="7"/>
      <c r="F120" s="7">
        <f t="shared" si="12"/>
        <v>-12667872</v>
      </c>
      <c r="G120" s="7">
        <f t="shared" si="13"/>
        <v>0</v>
      </c>
      <c r="H120" s="7"/>
      <c r="I120" s="7"/>
      <c r="J120" s="7"/>
    </row>
    <row r="121" spans="1:10" ht="72" customHeight="1" outlineLevel="1">
      <c r="A121" s="21" t="s">
        <v>187</v>
      </c>
      <c r="B121" s="6" t="s">
        <v>188</v>
      </c>
      <c r="C121" s="7">
        <v>1100382</v>
      </c>
      <c r="D121" s="7">
        <v>1293510</v>
      </c>
      <c r="E121" s="7">
        <v>1353384</v>
      </c>
      <c r="F121" s="7">
        <f t="shared" si="12"/>
        <v>253002</v>
      </c>
      <c r="G121" s="7">
        <f t="shared" si="13"/>
        <v>59874</v>
      </c>
      <c r="H121" s="7">
        <v>1402380</v>
      </c>
      <c r="I121" s="7">
        <v>1402380</v>
      </c>
      <c r="J121" s="7"/>
    </row>
    <row r="122" spans="1:10" ht="79.5" customHeight="1" outlineLevel="1">
      <c r="A122" s="21" t="s">
        <v>195</v>
      </c>
      <c r="B122" s="6" t="s">
        <v>213</v>
      </c>
      <c r="C122" s="7">
        <v>131468</v>
      </c>
      <c r="D122" s="7">
        <v>2606</v>
      </c>
      <c r="E122" s="7">
        <v>2865</v>
      </c>
      <c r="F122" s="7">
        <f t="shared" si="12"/>
        <v>-128603</v>
      </c>
      <c r="G122" s="7">
        <f t="shared" si="13"/>
        <v>259</v>
      </c>
      <c r="H122" s="7">
        <v>2551</v>
      </c>
      <c r="I122" s="7">
        <v>2551</v>
      </c>
      <c r="J122" s="7">
        <v>64204.32</v>
      </c>
    </row>
    <row r="123" spans="1:10" ht="66" customHeight="1" outlineLevel="1">
      <c r="A123" s="21" t="s">
        <v>197</v>
      </c>
      <c r="B123" s="6" t="s">
        <v>212</v>
      </c>
      <c r="C123" s="7"/>
      <c r="D123" s="7"/>
      <c r="E123" s="7"/>
      <c r="F123" s="7">
        <f t="shared" si="12"/>
        <v>0</v>
      </c>
      <c r="G123" s="7">
        <f t="shared" si="13"/>
        <v>0</v>
      </c>
      <c r="H123" s="7"/>
      <c r="I123" s="7"/>
      <c r="J123" s="7">
        <v>608793.41</v>
      </c>
    </row>
    <row r="124" spans="1:10" ht="80.25" customHeight="1" outlineLevel="1">
      <c r="A124" s="21" t="s">
        <v>196</v>
      </c>
      <c r="B124" s="6" t="s">
        <v>211</v>
      </c>
      <c r="C124" s="7">
        <v>5795300</v>
      </c>
      <c r="D124" s="7">
        <v>7355050</v>
      </c>
      <c r="E124" s="7">
        <v>7355050</v>
      </c>
      <c r="F124" s="7">
        <f t="shared" si="12"/>
        <v>1559750</v>
      </c>
      <c r="G124" s="7">
        <f t="shared" ref="G124:G128" si="17">E124-D124</f>
        <v>0</v>
      </c>
      <c r="H124" s="7">
        <v>7485100</v>
      </c>
      <c r="I124" s="7">
        <v>7637547.5</v>
      </c>
      <c r="J124" s="7">
        <v>22181600</v>
      </c>
    </row>
    <row r="125" spans="1:10" ht="47.25" outlineLevel="1">
      <c r="A125" s="21" t="s">
        <v>198</v>
      </c>
      <c r="B125" s="6" t="s">
        <v>210</v>
      </c>
      <c r="C125" s="7"/>
      <c r="D125" s="7"/>
      <c r="E125" s="7"/>
      <c r="F125" s="7">
        <f t="shared" si="12"/>
        <v>0</v>
      </c>
      <c r="G125" s="7">
        <f t="shared" si="17"/>
        <v>0</v>
      </c>
      <c r="H125" s="7"/>
      <c r="I125" s="7"/>
      <c r="J125" s="7">
        <v>665496</v>
      </c>
    </row>
    <row r="126" spans="1:10" ht="48" customHeight="1" outlineLevel="1">
      <c r="A126" s="21" t="s">
        <v>205</v>
      </c>
      <c r="B126" s="6" t="s">
        <v>209</v>
      </c>
      <c r="C126" s="7">
        <v>1509632</v>
      </c>
      <c r="D126" s="7">
        <v>1490622</v>
      </c>
      <c r="E126" s="7">
        <v>1532764</v>
      </c>
      <c r="F126" s="7">
        <f t="shared" si="12"/>
        <v>23132</v>
      </c>
      <c r="G126" s="7">
        <f t="shared" si="17"/>
        <v>42142</v>
      </c>
      <c r="H126" s="7">
        <v>1583476</v>
      </c>
      <c r="I126" s="7">
        <v>1636216</v>
      </c>
      <c r="J126" s="7">
        <v>2349253</v>
      </c>
    </row>
    <row r="127" spans="1:10" ht="38.25" customHeight="1" outlineLevel="1">
      <c r="A127" s="21" t="s">
        <v>200</v>
      </c>
      <c r="B127" s="6" t="s">
        <v>208</v>
      </c>
      <c r="C127" s="7">
        <v>2046411</v>
      </c>
      <c r="D127" s="7">
        <v>2248649</v>
      </c>
      <c r="E127" s="7">
        <v>2873469</v>
      </c>
      <c r="F127" s="7">
        <f t="shared" si="12"/>
        <v>827058</v>
      </c>
      <c r="G127" s="7">
        <f t="shared" si="17"/>
        <v>624820</v>
      </c>
      <c r="H127" s="7">
        <v>2988407</v>
      </c>
      <c r="I127" s="7">
        <v>3107943</v>
      </c>
      <c r="J127" s="7">
        <v>2397456</v>
      </c>
    </row>
    <row r="128" spans="1:10" ht="32.25" customHeight="1" outlineLevel="1">
      <c r="A128" s="21" t="s">
        <v>201</v>
      </c>
      <c r="B128" s="6" t="s">
        <v>207</v>
      </c>
      <c r="C128" s="7">
        <v>353579</v>
      </c>
      <c r="D128" s="7">
        <v>357701</v>
      </c>
      <c r="E128" s="7">
        <v>449243</v>
      </c>
      <c r="F128" s="7">
        <f t="shared" si="12"/>
        <v>95664</v>
      </c>
      <c r="G128" s="7">
        <f t="shared" si="17"/>
        <v>91542</v>
      </c>
      <c r="H128" s="7">
        <v>465453</v>
      </c>
      <c r="I128" s="7">
        <v>482312</v>
      </c>
      <c r="J128" s="7">
        <v>692947</v>
      </c>
    </row>
    <row r="129" spans="1:10" s="5" customFormat="1" ht="15.75">
      <c r="A129" s="3" t="s">
        <v>123</v>
      </c>
      <c r="B129" s="13" t="s">
        <v>124</v>
      </c>
      <c r="C129" s="4">
        <f>SUM(C130:C130)</f>
        <v>9732116.1300000008</v>
      </c>
      <c r="D129" s="4">
        <f>D130+D133+D134</f>
        <v>12236034.300000001</v>
      </c>
      <c r="E129" s="4">
        <f>E130+E133</f>
        <v>19522171.5</v>
      </c>
      <c r="F129" s="4">
        <f t="shared" si="12"/>
        <v>9790055.3699999992</v>
      </c>
      <c r="G129" s="4">
        <f t="shared" si="13"/>
        <v>7286137.1999999993</v>
      </c>
      <c r="H129" s="4">
        <f>H130+H133</f>
        <v>19522171.5</v>
      </c>
      <c r="I129" s="4">
        <f>I130+I133</f>
        <v>19522171.5</v>
      </c>
      <c r="J129" s="4">
        <f>SUM(J130:J130)</f>
        <v>31309200</v>
      </c>
    </row>
    <row r="130" spans="1:10" ht="78" customHeight="1" outlineLevel="1">
      <c r="A130" s="21" t="s">
        <v>199</v>
      </c>
      <c r="B130" s="6" t="s">
        <v>241</v>
      </c>
      <c r="C130" s="7">
        <v>9732116.1300000008</v>
      </c>
      <c r="D130" s="7">
        <v>11115000</v>
      </c>
      <c r="E130" s="7">
        <v>17667000</v>
      </c>
      <c r="F130" s="7">
        <f t="shared" ref="F130" si="18">E130-C130</f>
        <v>7934883.8699999992</v>
      </c>
      <c r="G130" s="7">
        <f t="shared" ref="G130" si="19">E130-D130</f>
        <v>6552000</v>
      </c>
      <c r="H130" s="7">
        <v>17667000</v>
      </c>
      <c r="I130" s="7">
        <v>17667000</v>
      </c>
      <c r="J130" s="7">
        <v>31309200</v>
      </c>
    </row>
    <row r="131" spans="1:10" s="5" customFormat="1" ht="36.75" hidden="1" customHeight="1">
      <c r="A131" s="3" t="s">
        <v>131</v>
      </c>
      <c r="B131" s="13" t="s">
        <v>132</v>
      </c>
      <c r="C131" s="4">
        <f>C132</f>
        <v>0</v>
      </c>
      <c r="D131" s="4">
        <f>D132</f>
        <v>0</v>
      </c>
      <c r="E131" s="4">
        <f>E132</f>
        <v>0</v>
      </c>
      <c r="F131" s="4">
        <f t="shared" si="12"/>
        <v>0</v>
      </c>
      <c r="G131" s="4">
        <f t="shared" si="13"/>
        <v>0</v>
      </c>
      <c r="H131" s="4">
        <f>H132</f>
        <v>0</v>
      </c>
      <c r="I131" s="4">
        <f>I132</f>
        <v>0</v>
      </c>
      <c r="J131" s="4">
        <f>J132</f>
        <v>0</v>
      </c>
    </row>
    <row r="132" spans="1:10" ht="59.25" hidden="1" customHeight="1" outlineLevel="1">
      <c r="A132" s="21" t="s">
        <v>133</v>
      </c>
      <c r="B132" s="6" t="s">
        <v>134</v>
      </c>
      <c r="C132" s="7"/>
      <c r="D132" s="7"/>
      <c r="E132" s="7"/>
      <c r="F132" s="7">
        <f t="shared" si="12"/>
        <v>0</v>
      </c>
      <c r="G132" s="7">
        <f t="shared" si="13"/>
        <v>0</v>
      </c>
      <c r="H132" s="7"/>
      <c r="I132" s="7"/>
      <c r="J132" s="7"/>
    </row>
    <row r="133" spans="1:10" ht="116.25" customHeight="1" outlineLevel="1">
      <c r="A133" s="21" t="s">
        <v>240</v>
      </c>
      <c r="B133" s="6" t="s">
        <v>242</v>
      </c>
      <c r="C133" s="7"/>
      <c r="D133" s="7">
        <v>371034.3</v>
      </c>
      <c r="E133" s="7">
        <v>1855171.5</v>
      </c>
      <c r="F133" s="7">
        <f t="shared" si="12"/>
        <v>1855171.5</v>
      </c>
      <c r="G133" s="7">
        <f t="shared" si="13"/>
        <v>1484137.2</v>
      </c>
      <c r="H133" s="7">
        <v>1855171.5</v>
      </c>
      <c r="I133" s="7">
        <v>1855171.5</v>
      </c>
      <c r="J133" s="7"/>
    </row>
    <row r="134" spans="1:10" ht="46.5" customHeight="1" outlineLevel="1">
      <c r="A134" s="21" t="s">
        <v>245</v>
      </c>
      <c r="B134" s="6" t="s">
        <v>246</v>
      </c>
      <c r="C134" s="7"/>
      <c r="D134" s="7">
        <v>750000</v>
      </c>
      <c r="E134" s="7"/>
      <c r="F134" s="7">
        <f t="shared" si="12"/>
        <v>0</v>
      </c>
      <c r="G134" s="7">
        <f t="shared" si="13"/>
        <v>-750000</v>
      </c>
      <c r="H134" s="7"/>
      <c r="I134" s="7"/>
      <c r="J134" s="7"/>
    </row>
    <row r="135" spans="1:10" s="5" customFormat="1" ht="63">
      <c r="A135" s="3" t="s">
        <v>135</v>
      </c>
      <c r="B135" s="13" t="s">
        <v>136</v>
      </c>
      <c r="C135" s="4">
        <v>-663189.85</v>
      </c>
      <c r="D135" s="4">
        <f>SUM(D136:D136)</f>
        <v>0</v>
      </c>
      <c r="E135" s="4">
        <f>SUM(E136:E136)</f>
        <v>0</v>
      </c>
      <c r="F135" s="4">
        <f t="shared" si="12"/>
        <v>663189.85</v>
      </c>
      <c r="G135" s="4">
        <f t="shared" si="13"/>
        <v>0</v>
      </c>
      <c r="H135" s="4">
        <f>SUM(H136:H136)</f>
        <v>0</v>
      </c>
      <c r="I135" s="4">
        <f>SUM(I136:I136)</f>
        <v>0</v>
      </c>
      <c r="J135" s="4">
        <f>SUM(J136:J136)</f>
        <v>0</v>
      </c>
    </row>
    <row r="136" spans="1:10" ht="66.75" hidden="1" customHeight="1" outlineLevel="1">
      <c r="A136" s="21" t="s">
        <v>137</v>
      </c>
      <c r="B136" s="6" t="s">
        <v>138</v>
      </c>
      <c r="C136" s="7"/>
      <c r="D136" s="7"/>
      <c r="E136" s="7"/>
      <c r="F136" s="7">
        <f t="shared" si="12"/>
        <v>0</v>
      </c>
      <c r="G136" s="7">
        <f t="shared" si="13"/>
        <v>0</v>
      </c>
      <c r="H136" s="7"/>
      <c r="I136" s="7"/>
      <c r="J136" s="7"/>
    </row>
    <row r="137" spans="1:10" ht="20.25" customHeight="1" collapsed="1">
      <c r="A137" s="14"/>
      <c r="B137" s="13" t="s">
        <v>125</v>
      </c>
      <c r="C137" s="4">
        <f>C12+C101</f>
        <v>674880996.36000001</v>
      </c>
      <c r="D137" s="4">
        <f>D12+D101</f>
        <v>605322060.41000009</v>
      </c>
      <c r="E137" s="4">
        <f>E12+E101</f>
        <v>596470087.89999998</v>
      </c>
      <c r="F137" s="4">
        <f t="shared" si="12"/>
        <v>-78410908.460000038</v>
      </c>
      <c r="G137" s="4">
        <f t="shared" si="13"/>
        <v>-8851972.5100001097</v>
      </c>
      <c r="H137" s="4">
        <f>H12+H101</f>
        <v>525588842</v>
      </c>
      <c r="I137" s="4">
        <f>I12+I101</f>
        <v>533153936.21999997</v>
      </c>
      <c r="J137" s="4" t="e">
        <f>J12+J101</f>
        <v>#REF!</v>
      </c>
    </row>
    <row r="138" spans="1:10">
      <c r="C138" s="9"/>
      <c r="D138" s="9"/>
      <c r="E138" s="9"/>
      <c r="F138" s="9"/>
      <c r="G138" s="9"/>
      <c r="H138" s="9"/>
      <c r="I138" s="9"/>
    </row>
    <row r="140" spans="1:10" ht="17.25" customHeight="1">
      <c r="C140" s="32"/>
    </row>
    <row r="145" spans="2:2">
      <c r="B145" s="33"/>
    </row>
  </sheetData>
  <mergeCells count="2">
    <mergeCell ref="A7:I8"/>
    <mergeCell ref="A9:I9"/>
  </mergeCells>
  <pageMargins left="0.47244094488188981" right="0.39370078740157483" top="0.51181102362204722" bottom="0.27559055118110237" header="0.15748031496062992" footer="0.31496062992125984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Пинская Галина Павловна</dc:creator>
  <cp:lastModifiedBy>user</cp:lastModifiedBy>
  <cp:lastPrinted>2020-10-20T01:13:14Z</cp:lastPrinted>
  <dcterms:created xsi:type="dcterms:W3CDTF">2020-10-19T04:36:44Z</dcterms:created>
  <dcterms:modified xsi:type="dcterms:W3CDTF">2023-10-19T00:04:25Z</dcterms:modified>
</cp:coreProperties>
</file>